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comments3.xml" ContentType="application/vnd.openxmlformats-officedocument.spreadsheetml.comments+xml"/>
  <Override PartName="/xl/styles.xml" ContentType="application/vnd.openxmlformats-officedocument.spreadsheetml.styles+xml"/>
  <Override PartName="/xl/worksheets/_rels/sheet60.xml.rels" ContentType="application/vnd.openxmlformats-package.relationships+xml"/>
  <Override PartName="/xl/worksheets/_rels/sheet16.xml.rels" ContentType="application/vnd.openxmlformats-package.relationships+xml"/>
  <Override PartName="/xl/worksheets/_rels/sheet3.xml.rels" ContentType="application/vnd.openxmlformats-package.relationships+xml"/>
  <Override PartName="/xl/worksheets/sheet56.xml" ContentType="application/vnd.openxmlformats-officedocument.spreadsheetml.worksheet+xml"/>
  <Override PartName="/xl/worksheets/sheet55.xml" ContentType="application/vnd.openxmlformats-officedocument.spreadsheetml.worksheet+xml"/>
  <Override PartName="/xl/worksheets/sheet54.xml" ContentType="application/vnd.openxmlformats-officedocument.spreadsheetml.worksheet+xml"/>
  <Override PartName="/xl/worksheets/sheet53.xml" ContentType="application/vnd.openxmlformats-officedocument.spreadsheetml.worksheet+xml"/>
  <Override PartName="/xl/worksheets/sheet52.xml" ContentType="application/vnd.openxmlformats-officedocument.spreadsheetml.worksheet+xml"/>
  <Override PartName="/xl/worksheets/sheet51.xml" ContentType="application/vnd.openxmlformats-officedocument.spreadsheetml.worksheet+xml"/>
  <Override PartName="/xl/worksheets/sheet50.xml" ContentType="application/vnd.openxmlformats-officedocument.spreadsheetml.worksheet+xml"/>
  <Override PartName="/xl/worksheets/sheet46.xml" ContentType="application/vnd.openxmlformats-officedocument.spreadsheetml.worksheet+xml"/>
  <Override PartName="/xl/worksheets/sheet45.xml" ContentType="application/vnd.openxmlformats-officedocument.spreadsheetml.worksheet+xml"/>
  <Override PartName="/xl/worksheets/sheet44.xml" ContentType="application/vnd.openxmlformats-officedocument.spreadsheetml.worksheet+xml"/>
  <Override PartName="/xl/worksheets/sheet43.xml" ContentType="application/vnd.openxmlformats-officedocument.spreadsheetml.worksheet+xml"/>
  <Override PartName="/xl/worksheets/sheet12.xml" ContentType="application/vnd.openxmlformats-officedocument.spreadsheetml.worksheet+xml"/>
  <Override PartName="/xl/worksheets/sheet49.xml" ContentType="application/vnd.openxmlformats-officedocument.spreadsheetml.worksheet+xml"/>
  <Override PartName="/xl/worksheets/sheet4.xml" ContentType="application/vnd.openxmlformats-officedocument.spreadsheetml.worksheet+xml"/>
  <Override PartName="/xl/worksheets/sheet63.xml" ContentType="application/vnd.openxmlformats-officedocument.spreadsheetml.worksheet+xml"/>
  <Override PartName="/xl/worksheets/sheet3.xml" ContentType="application/vnd.openxmlformats-officedocument.spreadsheetml.worksheet+xml"/>
  <Override PartName="/xl/worksheets/sheet62.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xml" ContentType="application/vnd.openxmlformats-officedocument.spreadsheetml.worksheet+xml"/>
  <Override PartName="/xl/worksheets/sheet18.xml" ContentType="application/vnd.openxmlformats-officedocument.spreadsheetml.worksheet+xml"/>
  <Override PartName="/xl/worksheets/sheet60.xml" ContentType="application/vnd.openxmlformats-officedocument.spreadsheetml.worksheet+xml"/>
  <Override PartName="/xl/worksheets/sheet57.xml" ContentType="application/vnd.openxmlformats-officedocument.spreadsheetml.worksheet+xml"/>
  <Override PartName="/xl/worksheets/sheet2.xml" ContentType="application/vnd.openxmlformats-officedocument.spreadsheetml.worksheet+xml"/>
  <Override PartName="/xl/worksheets/sheet19.xml" ContentType="application/vnd.openxmlformats-officedocument.spreadsheetml.worksheet+xml"/>
  <Override PartName="/xl/worksheets/sheet61.xml" ContentType="application/vnd.openxmlformats-officedocument.spreadsheetml.worksheet+xml"/>
  <Override PartName="/xl/worksheets/sheet69.xml" ContentType="application/vnd.openxmlformats-officedocument.spreadsheetml.worksheet+xml"/>
  <Override PartName="/xl/worksheets/sheet32.xml" ContentType="application/vnd.openxmlformats-officedocument.spreadsheetml.worksheet+xml"/>
  <Override PartName="/xl/worksheets/sheet70.xml" ContentType="application/vnd.openxmlformats-officedocument.spreadsheetml.worksheet+xml"/>
  <Override PartName="/xl/worksheets/sheet28.xml" ContentType="application/vnd.openxmlformats-officedocument.spreadsheetml.worksheet+xml"/>
  <Override PartName="/xl/worksheets/sheet68.xml" ContentType="application/vnd.openxmlformats-officedocument.spreadsheetml.worksheet+xml"/>
  <Override PartName="/xl/worksheets/sheet31.xml" ContentType="application/vnd.openxmlformats-officedocument.spreadsheetml.worksheet+xml"/>
  <Override PartName="/xl/worksheets/sheet67.xml" ContentType="application/vnd.openxmlformats-officedocument.spreadsheetml.worksheet+xml"/>
  <Override PartName="/xl/worksheets/sheet30.xml" ContentType="application/vnd.openxmlformats-officedocument.spreadsheetml.worksheet+xml"/>
  <Override PartName="/xl/worksheets/sheet27.xml" ContentType="application/vnd.openxmlformats-officedocument.spreadsheetml.worksheet+xml"/>
  <Override PartName="/xl/worksheets/sheet64.xml" ContentType="application/vnd.openxmlformats-officedocument.spreadsheetml.worksheet+xml"/>
  <Override PartName="/xl/worksheets/sheet20.xml" ContentType="application/vnd.openxmlformats-officedocument.spreadsheetml.worksheet+xml"/>
  <Override PartName="/xl/worksheets/sheet5.xml" ContentType="application/vnd.openxmlformats-officedocument.spreadsheetml.worksheet+xml"/>
  <Override PartName="/xl/worksheets/sheet66.xml" ContentType="application/vnd.openxmlformats-officedocument.spreadsheetml.worksheet+xml"/>
  <Override PartName="/xl/worksheets/sheet29.xml" ContentType="application/vnd.openxmlformats-officedocument.spreadsheetml.worksheet+xml"/>
  <Override PartName="/xl/worksheets/sheet26.xml" ContentType="application/vnd.openxmlformats-officedocument.spreadsheetml.worksheet+xml"/>
  <Override PartName="/xl/worksheets/sheet65.xml" ContentType="application/vnd.openxmlformats-officedocument.spreadsheetml.worksheet+xml"/>
  <Override PartName="/xl/worksheets/sheet25.xml" ContentType="application/vnd.openxmlformats-officedocument.spreadsheetml.worksheet+xml"/>
  <Override PartName="/xl/worksheets/sheet59.xml" ContentType="application/vnd.openxmlformats-officedocument.spreadsheetml.worksheet+xml"/>
  <Override PartName="/xl/worksheets/sheet7.xml" ContentType="application/vnd.openxmlformats-officedocument.spreadsheetml.worksheet+xml"/>
  <Override PartName="/xl/worksheets/sheet22.xml" ContentType="application/vnd.openxmlformats-officedocument.spreadsheetml.worksheet+xml"/>
  <Override PartName="/xl/worksheets/sheet58.xml" ContentType="application/vnd.openxmlformats-officedocument.spreadsheetml.worksheet+xml"/>
  <Override PartName="/xl/worksheets/sheet6.xml" ContentType="application/vnd.openxmlformats-officedocument.spreadsheetml.worksheet+xml"/>
  <Override PartName="/xl/worksheets/sheet21.xml" ContentType="application/vnd.openxmlformats-officedocument.spreadsheetml.worksheet+xml"/>
  <Override PartName="/xl/worksheets/sheet13.xml" ContentType="application/vnd.openxmlformats-officedocument.spreadsheetml.worksheet+xml"/>
  <Override PartName="/xl/worksheets/sheet8.xml" ContentType="application/vnd.openxmlformats-officedocument.spreadsheetml.worksheet+xml"/>
  <Override PartName="/xl/worksheets/sheet23.xml" ContentType="application/vnd.openxmlformats-officedocument.spreadsheetml.worksheet+xml"/>
  <Override PartName="/xl/worksheets/sheet14.xml" ContentType="application/vnd.openxmlformats-officedocument.spreadsheetml.worksheet+xml"/>
  <Override PartName="/xl/worksheets/sheet9.xml" ContentType="application/vnd.openxmlformats-officedocument.spreadsheetml.worksheet+xml"/>
  <Override PartName="/xl/worksheets/sheet24.xml" ContentType="application/vnd.openxmlformats-officedocument.spreadsheetml.worksheet+xml"/>
  <Override PartName="/xl/worksheets/sheet10.xml" ContentType="application/vnd.openxmlformats-officedocument.spreadsheetml.worksheet+xml"/>
  <Override PartName="/xl/worksheets/sheet47.xml" ContentType="application/vnd.openxmlformats-officedocument.spreadsheetml.worksheet+xml"/>
  <Override PartName="/xl/worksheets/sheet11.xml" ContentType="application/vnd.openxmlformats-officedocument.spreadsheetml.worksheet+xml"/>
  <Override PartName="/xl/worksheets/sheet48.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sharedStrings.xml" ContentType="application/vnd.openxmlformats-officedocument.spreadsheetml.sharedStrings+xml"/>
  <Override PartName="/xl/drawings/vmlDrawing1.vml" ContentType="application/vnd.openxmlformats-officedocument.vmlDrawing"/>
  <Override PartName="/xl/tables/table1.xml" ContentType="application/vnd.openxmlformats-officedocument.spreadsheetml.table+xml"/>
  <Override PartName="/xl/tables/table2.xml" ContentType="application/vnd.openxmlformats-officedocument.spreadsheetml.table+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ns1="http://schemas.openxmlformats.org/officeDocument/2006/relationships" xmlns:ns2="http://schemas.libreoffice.org/">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Release_Notes" sheetId="1" state="visible" ns1:id="rId3"/>
    <sheet name="How_To_Use" sheetId="2" state="visible" ns1:id="rId4"/>
    <sheet name="CANON" sheetId="3" state="visible" ns1:id="rId5"/>
    <sheet name="Sanity_Checklist" sheetId="4" state="visible" ns1:id="rId6"/>
    <sheet name="Config" sheetId="5" state="visible" ns1:id="rId7"/>
    <sheet name="Parameters" sheetId="6" state="visible" ns1:id="rId8"/>
    <sheet name="PLSS_Local_Scope" sheetId="7" state="visible" ns1:id="rId9"/>
    <sheet name="Rights_Coverage" sheetId="8" state="visible" ns1:id="rId10"/>
    <sheet name="Rights_Coverage_View" sheetId="9" state="visible" ns1:id="rId11"/>
    <sheet name="C_cat" sheetId="10" state="visible" ns1:id="rId12"/>
    <sheet name="WTSL_Categories" sheetId="11" state="visible" ns1:id="rId13"/>
    <sheet name="Impact_Input" sheetId="12" state="visible" ns1:id="rId14"/>
    <sheet name="Scenario_Impacts" sheetId="13" state="visible" ns1:id="rId15"/>
    <sheet name="I_prop" sheetId="14" state="visible" ns1:id="rId16"/>
    <sheet name="Reality_Grounding" sheetId="15" state="visible" ns1:id="rId17"/>
    <sheet name="Category_Grounding" sheetId="16" state="visible" ns1:id="rId18"/>
    <sheet name="Term_Discrimination" sheetId="17" state="visible" ns1:id="rId19"/>
    <sheet name="Source_Coupling" sheetId="18" state="visible" ns1:id="rId20"/>
    <sheet name="Do_Not_Collapse" sheetId="19" state="visible" ns1:id="rId21"/>
    <sheet name="Rights_Floor" sheetId="20" state="visible" ns1:id="rId22"/>
    <sheet name="NCRC" sheetId="21" state="visible" ns1:id="rId23"/>
    <sheet name="TRC" sheetId="22" state="visible" ns1:id="rId24"/>
    <sheet name="Containment" sheetId="23" state="visible" ns1:id="rId25"/>
    <sheet name="Structural_Viability" sheetId="24" state="visible" ns1:id="rId26"/>
    <sheet name="RLS" sheetId="25" state="visible" ns1:id="rId27"/>
    <sheet name="UCI_HOI" sheetId="26" state="visible" ns1:id="rId28"/>
    <sheet name="Dashboard" sheetId="27" state="visible" ns1:id="rId29"/>
    <sheet name="Audit_Flags" sheetId="28" state="visible" ns1:id="rId30"/>
    <sheet name="PCC" sheetId="29" state="visible" ns1:id="rId31"/>
    <sheet name="Sensitivity_Analysis" sheetId="30" state="visible" ns1:id="rId32"/>
    <sheet name="Subgroup_Analysis" sheetId="31" state="visible" ns1:id="rId33"/>
    <sheet name="Subgroup_Overrides" sheetId="32" state="visible" ns1:id="rId34"/>
    <sheet name="SGP_Input" sheetId="33" state="visible" ns1:id="rId35"/>
    <sheet name="SGP_Integration" sheetId="34" state="visible" ns1:id="rId36"/>
    <sheet name="User_Guide" sheetId="35" state="visible" ns1:id="rId37"/>
    <sheet name="Version_Control" sheetId="36" state="visible" ns1:id="rId38"/>
    <sheet name="ProjectionPreRegistration" sheetId="37" state="visible" ns1:id="rId39"/>
    <sheet name="ExecutionStability" sheetId="38" state="visible" ns1:id="rId40"/>
    <sheet name="PrimitiveTrace" sheetId="39" state="visible" ns1:id="rId41"/>
    <sheet name="ObservableConsequences" sheetId="40" state="visible" ns1:id="rId42"/>
    <sheet name="FalsificationPlan" sheetId="41" state="visible" ns1:id="rId43"/>
    <sheet name="MethodologyMaturity" sheetId="42" state="visible" ns1:id="rId44"/>
    <sheet name="v10_Sanity_Checklist" sheetId="43" state="visible" ns1:id="rId45"/>
    <sheet name="TransitionAdmissibility" sheetId="44" state="visible" ns1:id="rId46"/>
    <sheet name="UCI_Maturity" sheetId="45" state="visible" ns1:id="rId47"/>
    <sheet name="Kernel_Posture" sheetId="46" state="visible" ns1:id="rId48"/>
    <sheet name="HDW_Capture_Audit" sheetId="47" state="visible" ns1:id="rId49"/>
    <sheet name="PLSS_Escalation" sheetId="48" state="visible" ns1:id="rId50"/>
    <sheet name="BioSGP_Maturity" sheetId="49" state="visible" ns1:id="rId51"/>
    <sheet name="Deployment_Context" sheetId="50" state="visible" ns1:id="rId52"/>
    <sheet name="Machine_Readiness" sheetId="51" state="visible" ns1:id="rId53"/>
    <sheet name="Display_Clarity" sheetId="52" state="visible" ns1:id="rId54"/>
    <sheet name="Boundary_Risk_Register" sheetId="53" state="visible" ns1:id="rId55"/>
    <sheet name="Evidence_Status_Tokens" sheetId="54" state="visible" ns1:id="rId56"/>
    <sheet name="Compact_Profiles" sheetId="55" state="visible" ns1:id="rId57"/>
    <sheet name="SGP_Split_Guardrail" sheetId="56" state="visible" ns1:id="rId58"/>
    <sheet name="Validation_Roadmap" sheetId="57" state="visible" ns1:id="rId59"/>
    <sheet name="Triple_Pass_Audit" sheetId="58" state="visible" ns1:id="rId60"/>
    <sheet name="Release_Boundaries" sheetId="59" state="visible" ns1:id="rId61"/>
    <sheet name="ReferenceStructureRecord" sheetId="60" state="visible" ns1:id="rId62"/>
    <sheet name="v10_7_History" sheetId="61" state="visible" ns1:id="rId63"/>
    <sheet name="Layer_Falsification" sheetId="62" state="visible" ns1:id="rId64"/>
    <sheet name="Adaptive_Reserve" sheetId="63" state="visible" ns1:id="rId65"/>
    <sheet name="Verdict_Hardening" sheetId="64" state="visible" ns1:id="rId66"/>
    <sheet name="Version_Semantics" sheetId="65" state="visible" ns1:id="rId67"/>
    <sheet name="v11_1_Update" sheetId="66" state="visible" ns1:id="rId68"/>
    <sheet name="Formula_Map" sheetId="67" state="visible" ns1:id="rId69"/>
    <sheet name="CSV" sheetId="68" state="visible" ns1:id="rId70"/>
    <sheet name="v11_4_Complete_Ready" sheetId="69" state="visible" ns1:id="rId71"/>
    <sheet name="Core_Component_Map" sheetId="70" state="visible" ns1:id="rId72"/>
  </sheets>
  <definedNames>
    <definedName function="false" hidden="false" name="AUDIT_REVIEW_COUNT" vbProcedure="false">Audit_Flags!$B$23</definedName>
    <definedName function="false" hidden="false" name="CANON_CLAIMABLE_RUN" vbProcedure="false">CANON!$B$81</definedName>
    <definedName function="false" hidden="false" name="CANON_INVALID_FLAGS_COUNT" vbProcedure="false">CANON!$B$80</definedName>
    <definedName function="false" hidden="false" name="CANON_PLACEHOLDER_COUNT" vbProcedure="false">CANON!$B$117</definedName>
    <definedName function="false" hidden="false" name="CANON_SCHEMA_FAIL_COUNT" vbProcedure="false">CANON!$B$116</definedName>
    <definedName function="false" hidden="false" name="SIGMA_EST" vbProcedure="false">Config!$B$20</definedName>
  </definedNames>
  <calcPr iterateCount="100" refMode="A1" iterate="false" iterateDelta="0.001" calcMode="auto" fullCalcOnLoad="1" forceFullCalc="1"/>
  <extLst>
    <ext uri="{7626C862-2A13-11E5-B345-FEFF819CDC9F}">
      <ns2:extCalcPr stringRefSyntax="ExcelA1"/>
    </ext>
  </extLst>
</workbook>
</file>

<file path=xl/comments3.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Unknown Author</author>
  </authors>
  <commentList>
    <comment ref="B81" authorId="0">
      <text>
        <r>
          <rPr>
            <sz val="10"/>
            <rFont val="Arial"/>
            <family val="2"/>
          </rPr>
          <t xml:space="preserve">Deterministic claimability gate for the selected option. INVALID_FLAGS_COUNT is computed from Audit_Flags INVALID-severity tokens, including NORMATIVE_INPUT_PROVENANCE_MISSING where triggered.</t>
        </r>
      </text>
      <mc:AlternateContent>
        <mc:Choice Requires="v2">
          <commentPr autoFill="true" autoScale="false" colHidden="false" locked="false" rowHidden="false" textHAlign="justify" textVAlign="top">
            <anchor moveWithCells="false" sizeWithCells="false">
              <xdr:from>
                <xdr:col>0</xdr:col>
                <xdr:colOff>79</xdr:colOff>
                <xdr:row>0</xdr:row>
                <xdr:rowOff>2</xdr:rowOff>
              </xdr:from>
              <xdr:to>
                <xdr:col>1</xdr:col>
                <xdr:colOff>-43</xdr:colOff>
                <xdr:row>3</xdr:row>
                <xdr:rowOff>20</xdr:rowOff>
              </xdr:to>
            </anchor>
          </commentPr>
        </mc:Choice>
        <mc:Fallback/>
      </mc:AlternateContent>
    </comment>
  </commentList>
</comments>
</file>

<file path=xl/sharedStrings.xml><?xml version="1.0" encoding="utf-8"?>
<sst xmlns="http://schemas.openxmlformats.org/spreadsheetml/2006/main" count="5964" uniqueCount="3942">
  <si>
    <t xml:space="preserve">MathGov Core / RippleLogic Aligners Sheet v4.4 - Complete Ready Release</t>
  </si>
  <si>
    <t xml:space="preserve">Public cascade: RG -&gt; RF -&gt; TRC -&gt; CSV -&gt; RLS. Formal shorthand: RG/RSG -&gt; RF/NCRC -&gt; TRC -&gt; CSV -&gt; RLS.</t>
  </si>
  <si>
    <t xml:space="preserve">v4.4 updates the workbook for Canon v11.4 / SGP v6.4 / ripple.md v4.4 / Agent v11.4 / Primer v3.4 and clarifies Rights Floor (RF) as the public Layer 2 label while preserving NCRC as the formal constraint. CSV remains Containment and Structural Viability as the strengthened fourth cascade level before RLS.</t>
  </si>
  <si>
    <t xml:space="preserve">Sheet version</t>
  </si>
  <si>
    <t xml:space="preserve">v4.4</t>
  </si>
  <si>
    <t xml:space="preserve">Patch label</t>
  </si>
  <si>
    <t xml:space="preserve">Complete Ready, CSV Upgrade, and Falsification Discipline Patch; carries forward Term Discrimination and Semantic Stability controls</t>
  </si>
  <si>
    <t xml:space="preserve">Framework version</t>
  </si>
  <si>
    <t xml:space="preserve">RippleLogic v11.4</t>
  </si>
  <si>
    <t xml:space="preserve">Governing Canon version for this workbook</t>
  </si>
  <si>
    <t xml:space="preserve">Tier</t>
  </si>
  <si>
    <t xml:space="preserve">Worked-run exemplar tier</t>
  </si>
  <si>
    <t xml:space="preserve">Workbook mode</t>
  </si>
  <si>
    <t xml:space="preserve">WORKED_RUN</t>
  </si>
  <si>
    <t xml:space="preserve">Worked-run claimable</t>
  </si>
  <si>
    <t xml:space="preserve">YES</t>
  </si>
  <si>
    <t xml:space="preserve">Active tool-local flags (auto)</t>
  </si>
  <si>
    <t xml:space="preserve">NONDECISIVE_GAP_REVIEW (REVIEW)</t>
  </si>
  <si>
    <t xml:space="preserve">Canonical Invalid / Escalate / Review / Tool-Local Review</t>
  </si>
  <si>
    <t xml:space="preserve">0 / 0 / 0 / 1</t>
  </si>
  <si>
    <t xml:space="preserve">Release positioning</t>
  </si>
  <si>
    <t xml:space="preserve">Tier-2 worked-run exemplar aligned to RippleLogic v11.4, SGP v6.4, ripple.md v4.4, Agent System v11.4, Primer v3.4, and Aligners Sheet v4.4. This workbook is a worked-run publishable companion when its computed release gates pass. It is not the repository-level validator/schema surface and is not ProofPack-ready by itself.</t>
  </si>
  <si>
    <t xml:space="preserve">Current limitation (publication disclosure)</t>
  </si>
  <si>
    <t xml:space="preserve">This workbook remains a current worked-run exemplar companion, not a full repository-level conformance-complete validator/schema surface. PCC Section 18 extends companion disclosure fields for decision-material normative inputs while remaining a worked-run audit illustration.</t>
  </si>
  <si>
    <t xml:space="preserve">PCC Section 18 posture</t>
  </si>
  <si>
    <t xml:space="preserve">Extended companion disclosure surface; useful for publishable Tier-2 replay and audit illustration, but not a substitute for repository-level validator/schema assets.</t>
  </si>
  <si>
    <t xml:space="preserve">Current companion matrix</t>
  </si>
  <si>
    <t xml:space="preserve">RippleLogic v11.4 / SGP v6.4 / ripple.md v4.4 / Agent v11.4 / Primer v3.4 / Sheet v4.4</t>
  </si>
  <si>
    <t xml:space="preserve">Known REVIEW flags narrative (auto)</t>
  </si>
  <si>
    <t xml:space="preserve">Sensitivity status</t>
  </si>
  <si>
    <t xml:space="preserve">Sensitivity verdict</t>
  </si>
  <si>
    <t xml:space="preserve">Category Grounding patch</t>
  </si>
  <si>
    <t xml:space="preserve">Added Category_Grounding pre-flight sheet. Category Grounding and Primitive Audit are required subdisciplines of Reality Grounding when material, not additional cascade gates.</t>
  </si>
  <si>
    <t xml:space="preserve">Nondecisive judgment-call handling</t>
  </si>
  <si>
    <t xml:space="preserve">NONDECISIVE_GAP_REVIEW covers the judgment-call selection path; PCC B64/B84 document the rationale.</t>
  </si>
  <si>
    <t xml:space="preserve">2026-04-21</t>
  </si>
  <si>
    <t xml:space="preserve">v3.0 working-line hardening: corrected Biosphere UCI default/method disclosure, added tie-break / monitoring dashboard surface, made catastrophe-weight governance explicit, normalized rights ordering language, exposed floor tables/checks, and refreshed companion metadata for current release-line preparation.</t>
  </si>
  <si>
    <t xml:space="preserve">LINEAGE (historical): v3.4 measurement-maturity release synchronization update: added UCI_Maturity, Kernel_Posture, HDW_Capture_Audit, PLSS_Escalation, BioSGP_Maturity, and Deployment_Context surfaces; synchronized visible references to RippleLogic v10.6 / SGP v5.3 / ripple.md v3.4 / Agent v10.6; preserved non-claims for ProofPack, Tier 4, and empirical validation.</t>
  </si>
  <si>
    <t xml:space="preserve">April 2026 final hardening</t>
  </si>
  <si>
    <t xml:space="preserve">Added claimability hardening, scenario prior normalization checks, normative-input provenance register/flag, sanity-check provenance block, and explicit base/welfare contribution surfaces for the human-only worked run.</t>
  </si>
  <si>
    <t xml:space="preserve">Release-readiness pass</t>
  </si>
  <si>
    <t xml:space="preserve">Supports future ProofPack + hash manifest packaging; does not itself claim ProofPack readiness.</t>
  </si>
  <si>
    <t xml:space="preserve">v3.4</t>
  </si>
  <si>
    <t xml:space="preserve">2026-05-26</t>
  </si>
  <si>
    <t xml:space="preserve">Readability and front-matter organization</t>
  </si>
  <si>
    <t xml:space="preserve">LINEAGE (historical): Synchronizes workbook references to RippleLogic v10.6 / SGP v5.3 / ripple.md v3.4 / Agent v10.6, reflecting the core-document opening reorganization while preserving formulas, gates, and workbook worked-run exemplar status.</t>
  </si>
  <si>
    <t xml:space="preserve">Claim boundary</t>
  </si>
  <si>
    <t xml:space="preserve">LINEAGE (historical): GitHub v10.6 readability/core architecture release only. Does not claim ProofPack readiness, empirical validation, Tier 4, deployment readiness, or machine-verifiable ecosystem completeness.</t>
  </si>
  <si>
    <t xml:space="preserve">CLAIM_BOUNDARY_NOTE</t>
  </si>
  <si>
    <t xml:space="preserve">Worked-run claimability is not ecosystem ProofPack readiness. WORKED_RUN_CLAIMABLE = YES means this workbook instance satisfies its declared worked-run gates. It does not mean the RippleLogic ecosystem is schema-complete, validator-complete, replayable, empirically validated, or Tier-4-ready.</t>
  </si>
  <si>
    <t xml:space="preserve">REVIEW flag clarification</t>
  </si>
  <si>
    <t xml:space="preserve">Worked-run publishable status MAY coexist with non-blocking TOOL_LOCAL REVIEW flags when the declared worked-run gate remains satisfied. Audit_Flags REVIEW_COUNT requires reviewer attention and monitoring, but it is not by itself the worked-run publishability gate unless it also raises a blocking v10 sanity, INVALID, ESCALATE, or Refusal condition.</t>
  </si>
  <si>
    <t xml:space="preserve">LINEAGE (historical): v10.6 Readability Release Patch</t>
  </si>
  <si>
    <t xml:space="preserve">LINEAGE (historical) companion matrix</t>
  </si>
  <si>
    <t xml:space="preserve">LINEAGE (historical): RippleLogic v10.6 / SGP v5.3 / ripple.md v3.4 / Agent v10.6 / Sheet v3.4</t>
  </si>
  <si>
    <t xml:space="preserve">ReferenceStructureRecord fully integrated into workbook control surfaces: ReferenceStructureRecord sheet, Sanity_Checklist, PCC Section 26, and Dashboard visibility rows.</t>
  </si>
  <si>
    <t xml:space="preserve">Display clarity</t>
  </si>
  <si>
    <t xml:space="preserve">Worked-run claimable is separated from unique deterministic selection and selection basis.</t>
  </si>
  <si>
    <t xml:space="preserve">Machine readiness</t>
  </si>
  <si>
    <t xml:space="preserve">Machine_Readiness sheet tracks whether registries, schemas, reference calculators, CI, UCI annexes, and PLSS calibration packs are bundled/hash-pinned, missing, or delegated to the post-core ProofPack-prep tooling line.</t>
  </si>
  <si>
    <t xml:space="preserve">Flag separation</t>
  </si>
  <si>
    <t xml:space="preserve">Canon flags and tool-local flags are separated in display surfaces.</t>
  </si>
  <si>
    <t xml:space="preserve">ProofPack status</t>
  </si>
  <si>
    <t xml:space="preserve">ProofPack-ready claim allowed? NO</t>
  </si>
  <si>
    <t xml:space="preserve">v3.4 substance patch</t>
  </si>
  <si>
    <t xml:space="preserve">Boundary-risk and false-precision disclosure extension</t>
  </si>
  <si>
    <t xml:space="preserve">Added Boundary_Risk_Register and PCC Section 24</t>
  </si>
  <si>
    <t xml:space="preserve">Manifest/SHA regenerated after content freeze in final package.</t>
  </si>
  <si>
    <t xml:space="preserve">Workbook remains worked-run exemplar</t>
  </si>
  <si>
    <t xml:space="preserve">Not a full reference calculator, validator, ProofPack, empirical validation, or Tier 4 release</t>
  </si>
  <si>
    <t xml:space="preserve">LINEAGE (historical): Preserves v10.6 cascade</t>
  </si>
  <si>
    <t xml:space="preserve">Reviewer note</t>
  </si>
  <si>
    <t xml:space="preserve">Boundary fields are disclosure/escalation aids</t>
  </si>
  <si>
    <t xml:space="preserve">They do not replace RF/NCRC and TRC/Containment/RLS/UCI-HOI or Refusal</t>
  </si>
  <si>
    <t xml:space="preserve">Use sensitivity/escalation if material</t>
  </si>
  <si>
    <t xml:space="preserve">v3.4 precision patch</t>
  </si>
  <si>
    <t xml:space="preserve">Evidence-status tokens, compact profiles, SGP patienthood/participation guardrail, and validation roadmap added.</t>
  </si>
  <si>
    <t xml:space="preserve">No cascade change</t>
  </si>
  <si>
    <t xml:space="preserve">Preserves non-claims for ProofPack, Tier 4, empirical validation, and machine-verifiable ecosystem completeness.</t>
  </si>
  <si>
    <t xml:space="preserve">LINEAGE (historical): v10.6 Companion Synchronization Patch</t>
  </si>
  <si>
    <t xml:space="preserve">Scope</t>
  </si>
  <si>
    <t xml:space="preserve">LINEAGE (historical): Aligns visible pins to RippleLogic v10.6 / SGP v5.3 / ripple.md v3.4 / Agent v10.6 while preserving workbook v3.4 worked-run exemplar status.</t>
  </si>
  <si>
    <t xml:space="preserve">Stream separation</t>
  </si>
  <si>
    <t xml:space="preserve">Clarifies Base-stream and Welfare-stream identity only for this human-only worked run; generalized non-human or mixed-substrate runs must retain explicit stream separation.</t>
  </si>
  <si>
    <t xml:space="preserve">Audit awareness</t>
  </si>
  <si>
    <t xml:space="preserve">LINEAGE (historical): Adds Canon v10.6 awareness entries for CLAIM_EXCEEDS_CLOSURE_BOUNDARY, CATEGORY_COLLAPSE_FLAG, and PCC_MATURITY_SURFACE_INCOMPLETE without converting them into active formula-triggered flags in this exemplar.</t>
  </si>
  <si>
    <t xml:space="preserve">Still no ProofPack, Tier 4, empirical validation, deployment readiness, legal compliance, completed biological SGP measurement, or current-AI sentience claim.</t>
  </si>
  <si>
    <t xml:space="preserve">Final public-use polish</t>
  </si>
  <si>
    <t xml:space="preserve">Added How_To_Use sheet and semantic verifier; clarified hash-only verification boundary; completed Agent event registry and PrimitiveAuditRecord/Semantic Debt guidance.</t>
  </si>
  <si>
    <t xml:space="preserve">RIPPLELOGIC ALIGNERS SHEET v4.4 - HOW TO USE</t>
  </si>
  <si>
    <t xml:space="preserve">Purpose</t>
  </si>
  <si>
    <t xml:space="preserve">This workbook is a Tier 2 worked-run companion and audit/training artifact for the MathGov framework using RippleLogic. It is not a universal validator, ProofPack, legal certification, deployment certification, or Tier 4 replay engine.</t>
  </si>
  <si>
    <t xml:space="preserve">Safe editing rule</t>
  </si>
  <si>
    <t xml:space="preserve">Edit only declared input and review surfaces unless you are creating a new version. Do not edit formula cells in NCRC, TRC, CSV, RLS, Dashboard, or PCC without changing the version and recalculating the workbook.</t>
  </si>
  <si>
    <t xml:space="preserve">Start here</t>
  </si>
  <si>
    <t xml:space="preserve">1. Read Release_Notes and CANON. 2. Set declared assumptions in Config/Parameters. 3. Enter option and impact data in Impact_Input, Scenario_Impacts, and related declared input sheets.</t>
  </si>
  <si>
    <t xml:space="preserve">Ground first</t>
  </si>
  <si>
    <t xml:space="preserve">Before interpreting gates or scores, complete Reality_Grounding, Category_Grounding, Term_Discrimination, and Do_Not_Collapse where material. Unknowns are not zeros; claim boundaries must stay inside the evidence surface.</t>
  </si>
  <si>
    <t xml:space="preserve">Run order</t>
  </si>
  <si>
    <t xml:space="preserve">RG -&gt; Category_Grounding / Term_Discrimination -&gt; RF/NCRC -&gt; TRC -&gt; CSV -&gt; RLS -&gt; Dashboard -&gt; PCC. RF means Rights Floor; NCRC is the formal predicate. CSV means Containment and Structural Viability and is not a sixth public level.</t>
  </si>
  <si>
    <t xml:space="preserve">Rights floor</t>
  </si>
  <si>
    <t xml:space="preserve">Rights Floor (formal NCRC) is non-compensatory. A higher RLS score cannot rescue a rights-floor failure.</t>
  </si>
  <si>
    <t xml:space="preserve">Tail risk</t>
  </si>
  <si>
    <t xml:space="preserve">TRC uses the declared scenario library, probability policy, catastrophe-cell construction, and corridor threshold. A TRC pass is scoped to those declared surfaces.</t>
  </si>
  <si>
    <t xml:space="preserve">CSV</t>
  </si>
  <si>
    <t xml:space="preserve">CSV checks whether local gains damage containing systems and whether the option can structurally stand. CSV distinguishes residual harm, controls-required harm, redesign-required harm, emergency-provisional necessity, and gate-failing uncontained harm.</t>
  </si>
  <si>
    <t xml:space="preserve">RLS interpretation</t>
  </si>
  <si>
    <t xml:space="preserve">RLS ranks only selectable options. If NONDECISIVE_GAP_REVIEW appears, do not claim deterministic framework selection. Use authority selection separately and disclose it.</t>
  </si>
  <si>
    <t xml:space="preserve">PCC export</t>
  </si>
  <si>
    <t xml:space="preserve">Use PCC and Audit_Flags to document assumptions, gates, non-decisive status, claim boundary, authority selection, and release limitations.</t>
  </si>
  <si>
    <t xml:space="preserve">Release boundary</t>
  </si>
  <si>
    <t xml:space="preserve">This workbook supports Core Release 2026.09: Canon v11.4 / SGP v6.4 / ripple.md v4.4 / Agent System v11.4 / Primer v3.4 / Sheet v4.4.</t>
  </si>
  <si>
    <t xml:space="preserve">CANONICAL SINGLE SOURCE OF TRUTH - v4.4 / Canon v11.4</t>
  </si>
  <si>
    <t xml:space="preserve">RF Clarity + CSV Upgrade</t>
  </si>
  <si>
    <t xml:space="preserve">Active public cascade</t>
  </si>
  <si>
    <t xml:space="preserve">RG -&gt; RF -&gt; TRC -&gt; CSV -&gt; RLS</t>
  </si>
  <si>
    <t xml:space="preserve">All other tabs must reference this sheet - no duplicate calculations</t>
  </si>
  <si>
    <t xml:space="preserve">RF meaning</t>
  </si>
  <si>
    <t xml:space="preserve">Rights Floor, formally implemented as NCRC</t>
  </si>
  <si>
    <t xml:space="preserve">Formal shorthand</t>
  </si>
  <si>
    <t xml:space="preserve">RG/RSG -&gt; RF/NCRC -&gt; TRC -&gt; CSV -&gt; RLS</t>
  </si>
  <si>
    <t xml:space="preserve">SECTION A: VERSION &amp; IDENTITY</t>
  </si>
  <si>
    <t xml:space="preserve">CSV pass statuses</t>
  </si>
  <si>
    <t xml:space="preserve">CSV_PASS / CSV_PASS_WITH_CONTROLS</t>
  </si>
  <si>
    <t xml:space="preserve">FRAMEWORK_VERSION</t>
  </si>
  <si>
    <t xml:space="preserve">CSV non-pass statuses</t>
  </si>
  <si>
    <t xml:space="preserve">REDESIGN / ESCALATE / FAIL / EMERGENCY_PROVISIONAL</t>
  </si>
  <si>
    <t xml:space="preserve">SGP_VERSION</t>
  </si>
  <si>
    <t xml:space="preserve">SGP v6.4</t>
  </si>
  <si>
    <t xml:space="preserve">UCI/HOI placement</t>
  </si>
  <si>
    <t xml:space="preserve">Inside CSV when material; residual tie-break only after RLS non-decisive</t>
  </si>
  <si>
    <t xml:space="preserve">RIPPLE_MD_STANDARD</t>
  </si>
  <si>
    <t xml:space="preserve">ripple.md v4.4</t>
  </si>
  <si>
    <t xml:space="preserve">RLS boundary</t>
  </si>
  <si>
    <t xml:space="preserve">Ranks only options surviving RG/RF/NCRC and TRC/CSV</t>
  </si>
  <si>
    <t xml:space="preserve">AGENT_SYSTEM</t>
  </si>
  <si>
    <t xml:space="preserve">RippleLogic Agent System v11.4</t>
  </si>
  <si>
    <t xml:space="preserve">Non-authority</t>
  </si>
  <si>
    <t xml:space="preserve">Workbook is not ProofPack or certification</t>
  </si>
  <si>
    <t xml:space="preserve">SECTION B: CONFIGURATION</t>
  </si>
  <si>
    <t xml:space="preserve">TIER</t>
  </si>
  <si>
    <t xml:space="preserve">(1-3 only; Tier 4 prohibited for claims until independent ProofPack replay)</t>
  </si>
  <si>
    <t xml:space="preserve">CONTEXT</t>
  </si>
  <si>
    <t xml:space="preserve">ORG</t>
  </si>
  <si>
    <t xml:space="preserve">(PERS/ORG/REV/IRREV/XRISK)</t>
  </si>
  <si>
    <t xml:space="preserve">AI_DEPLOYMENT</t>
  </si>
  <si>
    <t xml:space="preserve">NO</t>
  </si>
  <si>
    <t xml:space="preserve">AI/governance-lock-in trigger assessment affects WTSL-AIX; AI_DEPLOYMENT alone is not the only trigger.</t>
  </si>
  <si>
    <t xml:space="preserve">TRC_ACTIVE</t>
  </si>
  <si>
    <t xml:space="preserve">(TRUE in this worked-run template; configure by catastrophe relevance per Canon)</t>
  </si>
  <si>
    <t xml:space="preserve">SIGMA_ALLOWED</t>
  </si>
  <si>
    <t xml:space="preserve">(Tier 2+: allowed)</t>
  </si>
  <si>
    <t xml:space="preserve">SIGMA_REQUIRED</t>
  </si>
  <si>
    <t xml:space="preserve">(Tier 3+: required)</t>
  </si>
  <si>
    <t xml:space="preserve">UNCERTAINTY_METHOD</t>
  </si>
  <si>
    <t xml:space="preserve">C</t>
  </si>
  <si>
    <t xml:space="preserve">(A=interval half-width, B=confidence-derived, C=calibrated table / worked-run constant-σ profile; Tier 3 minimum = B)</t>
  </si>
  <si>
    <t xml:space="preserve">Method C in this workbook is a constant-σ demonstration surface, not a production-calibrated uncertainty model.</t>
  </si>
  <si>
    <t xml:space="preserve">SECTION C: CANONICAL PARAMETERS</t>
  </si>
  <si>
    <t xml:space="preserve">alpha (CVaR confidence)</t>
  </si>
  <si>
    <t xml:space="preserve">beta (tail mass)</t>
  </si>
  <si>
    <t xml:space="preserve">beta_saturation</t>
  </si>
  <si>
    <t xml:space="preserve">beta_prop</t>
  </si>
  <si>
    <t xml:space="preserve">delta (discrimination)</t>
  </si>
  <si>
    <t xml:space="preserve">theta_pos (containment)</t>
  </si>
  <si>
    <t xml:space="preserve">tau_c (containment floor)</t>
  </si>
  <si>
    <t xml:space="preserve">T_ref (time reference)</t>
  </si>
  <si>
    <t xml:space="preserve">sigma_est (RLS uncertainty)</t>
  </si>
  <si>
    <t xml:space="preserve">t_min (temporal floor)</t>
  </si>
  <si>
    <t xml:space="preserve">(canonical in v11.4: prevents near-zero collapse; tau(t_min) approx 0.025)</t>
  </si>
  <si>
    <t xml:space="preserve">SECTION D: RIGHTS THRESHOLDS (θ_r)</t>
  </si>
  <si>
    <t xml:space="preserve">Right</t>
  </si>
  <si>
    <t xml:space="preserve">Rank (anchor order; non-operational)</t>
  </si>
  <si>
    <t xml:space="preserve">θ_r</t>
  </si>
  <si>
    <t xml:space="preserve">LIFE</t>
  </si>
  <si>
    <t xml:space="preserve">BODY</t>
  </si>
  <si>
    <t xml:space="preserve">LBTY</t>
  </si>
  <si>
    <t xml:space="preserve">NEED</t>
  </si>
  <si>
    <t xml:space="preserve">DIGN</t>
  </si>
  <si>
    <t xml:space="preserve">PROC</t>
  </si>
  <si>
    <t xml:space="preserve">INFO</t>
  </si>
  <si>
    <t xml:space="preserve">ECOL</t>
  </si>
  <si>
    <t xml:space="preserve">RIGHTS_COUNT</t>
  </si>
  <si>
    <t xml:space="preserve">(must = 8)</t>
  </si>
  <si>
    <t xml:space="preserve">SECTION E: MANDATORY TAILS</t>
  </si>
  <si>
    <t xml:space="preserve">MANDATORY_TAILS_COUNT</t>
  </si>
  <si>
    <t xml:space="preserve">(6 if AI_DEPLOYMENT=YES, else 5)</t>
  </si>
  <si>
    <t xml:space="preserve">WTSL Categories</t>
  </si>
  <si>
    <t xml:space="preserve">Required?</t>
  </si>
  <si>
    <t xml:space="preserve">WTSL-PAN</t>
  </si>
  <si>
    <t xml:space="preserve">WTSL-CLI</t>
  </si>
  <si>
    <t xml:space="preserve">WTSL-FIN</t>
  </si>
  <si>
    <t xml:space="preserve">WTSL-CON</t>
  </si>
  <si>
    <t xml:space="preserve">WTSL-INF</t>
  </si>
  <si>
    <t xml:space="preserve">WTSL-AIX</t>
  </si>
  <si>
    <t xml:space="preserve">SECTION F: CANONICAL GATE RESULTS</t>
  </si>
  <si>
    <t xml:space="preserve">NCRC_PASS_A</t>
  </si>
  <si>
    <t xml:space="preserve">NCRC_PASS_B</t>
  </si>
  <si>
    <t xml:space="preserve">CVaR_A</t>
  </si>
  <si>
    <t xml:space="preserve">CVaR_B</t>
  </si>
  <si>
    <t xml:space="preserve">TRC_PASS_A</t>
  </si>
  <si>
    <t xml:space="preserve">TRC_PASS_B</t>
  </si>
  <si>
    <t xml:space="preserve">tau_TRC</t>
  </si>
  <si>
    <t xml:space="preserve">(context-specific threshold)</t>
  </si>
  <si>
    <t xml:space="preserve">RLS_DECISIVE</t>
  </si>
  <si>
    <t xml:space="preserve">CONTAINMENT_PASS_A</t>
  </si>
  <si>
    <t xml:space="preserve">CONTAINMENT_PASS_B</t>
  </si>
  <si>
    <t xml:space="preserve">RLS_A</t>
  </si>
  <si>
    <t xml:space="preserve">RLS_B</t>
  </si>
  <si>
    <t xml:space="preserve">SECTION G: SELECTION LOGIC</t>
  </si>
  <si>
    <t xml:space="preserve">A_NCRC_COUNT</t>
  </si>
  <si>
    <t xml:space="preserve">(Options passing NCRC)</t>
  </si>
  <si>
    <t xml:space="preserve">A_ADM_COUNT</t>
  </si>
  <si>
    <t xml:space="preserve">(Options passing NCRC+TRC)</t>
  </si>
  <si>
    <t xml:space="preserve">DOCUMENTED_AUTHORITY_SELECTION_AFTER_REFUSAL (legacy AUTHORITY_SELECTION_MODE)</t>
  </si>
  <si>
    <t xml:space="preserve">NON_DETERMINISTIC_AUTHORITY_RECORD</t>
  </si>
  <si>
    <t xml:space="preserve">Authority record only; not deterministic framework selection.</t>
  </si>
  <si>
    <t xml:space="preserve">AUTHORITY_SELECTED_OPTION</t>
  </si>
  <si>
    <t xml:space="preserve">Authority-selected option after REFUSE_DETERMINISTIC_SELECTION.</t>
  </si>
  <si>
    <t xml:space="preserve">AUTHORITY_SELECTION_BASIS</t>
  </si>
  <si>
    <t xml:space="preserve">Selection basis must disclose non-decisive framework verdict.</t>
  </si>
  <si>
    <t xml:space="preserve">ESCALATION_REQUIRED</t>
  </si>
  <si>
    <t xml:space="preserve">SECTION H: CATASTROPHE INPUT VALIDATION</t>
  </si>
  <si>
    <t xml:space="preserve">CCAT_BLANK_COUNT</t>
  </si>
  <si>
    <t xml:space="preserve">(Must be 0 when TRC active)</t>
  </si>
  <si>
    <t xml:space="preserve">SCENARIO_IMPACT_MISSING</t>
  </si>
  <si>
    <t xml:space="preserve">SECTION I: CLAIMABILITY</t>
  </si>
  <si>
    <t xml:space="preserve">INVALID_FLAGS_COUNT</t>
  </si>
  <si>
    <t xml:space="preserve">(computed from Audit_Flags)</t>
  </si>
  <si>
    <t xml:space="preserve">WORKED_RUN_CLAIMABLE (legacy CLAIMABLE_RUN)</t>
  </si>
  <si>
    <t xml:space="preserve">WORKBOOK_MODE</t>
  </si>
  <si>
    <t xml:space="preserve">(TEMPLATE or WORKED_RUN)</t>
  </si>
  <si>
    <t xml:space="preserve">WORKED_RUN_PUBLISHABLE_SUMMARY</t>
  </si>
  <si>
    <t xml:space="preserve">(summary alias to worked-run publishability gate at B118; not ecosystem ProofPack readiness)</t>
  </si>
  <si>
    <t xml:space="preserve">NO_PARTIAL_TESTS</t>
  </si>
  <si>
    <t xml:space="preserve">Worked-run companion does not carry unresolved wrapper-level Partial tests.</t>
  </si>
  <si>
    <t xml:space="preserve">WAIVER_APPROVED</t>
  </si>
  <si>
    <t xml:space="preserve">No waiver used in this worked-run exemplar.</t>
  </si>
  <si>
    <t xml:space="preserve">CLAIMABILITY_RULE</t>
  </si>
  <si>
    <t xml:space="preserve">Authority-selected option must pass RF/NCRC, TRC, and CSV; INVALID_FLAGS_COUNT must equal 0; sanity_fail_count must equal 0; active_review_blocking_count must equal 0; placeholder_count must equal 0; and either WAIVER_APPROVED=YES or NO_PARTIAL_TESTS=YES. This predicate does not claim deterministic framework selection when FrameworkVerdict is REFUSE_DETERMINISTIC_SELECTION.</t>
  </si>
  <si>
    <t xml:space="preserve">Worked-run claimability predicate; not deterministic framework selection when FrameworkVerdict = REFUSE_DETERMINISTIC_SELECTION.</t>
  </si>
  <si>
    <t xml:space="preserve">Field</t>
  </si>
  <si>
    <t xml:space="preserve">Value</t>
  </si>
  <si>
    <t xml:space="preserve">Expected Type</t>
  </si>
  <si>
    <t xml:space="preserve">Status</t>
  </si>
  <si>
    <t xml:space="preserve">integer 1-3</t>
  </si>
  <si>
    <t xml:space="preserve">alpha</t>
  </si>
  <si>
    <t xml:space="preserve">decimal 0-1</t>
  </si>
  <si>
    <t xml:space="preserve">beta</t>
  </si>
  <si>
    <t xml:space="preserve">positive integer</t>
  </si>
  <si>
    <t xml:space="preserve">binary 0/1</t>
  </si>
  <si>
    <t xml:space="preserve">delta</t>
  </si>
  <si>
    <t xml:space="preserve">positive number</t>
  </si>
  <si>
    <t xml:space="preserve">theta_pos</t>
  </si>
  <si>
    <t xml:space="preserve">tau_c</t>
  </si>
  <si>
    <t xml:space="preserve">negative number</t>
  </si>
  <si>
    <t xml:space="preserve">T_ref</t>
  </si>
  <si>
    <t xml:space="preserve">sigma_est</t>
  </si>
  <si>
    <t xml:space="preserve">decimal &gt;=0</t>
  </si>
  <si>
    <t xml:space="preserve">integer = 8</t>
  </si>
  <si>
    <t xml:space="preserve">Note: MANDATORY_TAILS_COUNT canonical location is B41</t>
  </si>
  <si>
    <t xml:space="preserve">integer 5-6</t>
  </si>
  <si>
    <t xml:space="preserve">decimal</t>
  </si>
  <si>
    <t xml:space="preserve">nonneg integer</t>
  </si>
  <si>
    <t xml:space="preserve">INVALID_FLAGS</t>
  </si>
  <si>
    <t xml:space="preserve">SECTION G: v11.4 REPRESENTATION LAYER</t>
  </si>
  <si>
    <t xml:space="preserve">PUBLISH GATES (computed)</t>
  </si>
  <si>
    <t xml:space="preserve">must be 0</t>
  </si>
  <si>
    <t xml:space="preserve">SCHEMA_FAIL_COUNT</t>
  </si>
  <si>
    <t xml:space="preserve">(must be 0)</t>
  </si>
  <si>
    <t xml:space="preserve">PLACEHOLDER_COUNT</t>
  </si>
  <si>
    <t xml:space="preserve">(scans Dashboard for [ bracket placeholders; ID brackets removed for clarity)</t>
  </si>
  <si>
    <t xml:space="preserve">WORKED_RUN_PUBLISHABLE</t>
  </si>
  <si>
    <t xml:space="preserve">(master worked-run publishability gate; not ProofPack / schema / validator completeness)</t>
  </si>
  <si>
    <t xml:space="preserve">RELEASE INTEGRITY PANEL (v4.4)</t>
  </si>
  <si>
    <t xml:space="preserve">sanity_fail_count:</t>
  </si>
  <si>
    <t xml:space="preserve">invalid_count:</t>
  </si>
  <si>
    <t xml:space="preserve">manual_override:</t>
  </si>
  <si>
    <t xml:space="preserve">placeholder_count:</t>
  </si>
  <si>
    <t xml:space="preserve">worked_run_publishable_master:</t>
  </si>
  <si>
    <t xml:space="preserve">governing_wrapper_version: ripple.md v4.4</t>
  </si>
  <si>
    <t xml:space="preserve">companion_matrix:</t>
  </si>
  <si>
    <t xml:space="preserve">AUDIT CHECK:</t>
  </si>
  <si>
    <t xml:space="preserve">PASS WITH NON-BLOCKING REVIEW</t>
  </si>
  <si>
    <t xml:space="preserve">SECTION G2: REPRESENTATION / SCOPE COVERAGE</t>
  </si>
  <si>
    <t xml:space="preserve">SCI_LEVEL</t>
  </si>
  <si>
    <t xml:space="preserve">SCI-0..SCI-4; Tier 2 minimum = SCI-1</t>
  </si>
  <si>
    <t xml:space="preserve">SCI_JUSTIFICATION</t>
  </si>
  <si>
    <t xml:space="preserve">Key stakeholders identified; roles mapped to scopes; coverage documented</t>
  </si>
  <si>
    <t xml:space="preserve">SCI_NEXT_RUN_UPGRADE</t>
  </si>
  <si>
    <t xml:space="preserve">Expand to SCI-2: structured discovery protocol with evidence refs</t>
  </si>
  <si>
    <t xml:space="preserve">REQUIRED when SCI equals tier minimum</t>
  </si>
  <si>
    <t xml:space="preserve">SCOPE_COVERAGE_MODE</t>
  </si>
  <si>
    <t xml:space="preserve">FULL</t>
  </si>
  <si>
    <t xml:space="preserve">FULL or REDUCED; if REDUCED: ScopeCoverage declaration REQUIRED</t>
  </si>
  <si>
    <t xml:space="preserve">ACTIVE_SCOPES</t>
  </si>
  <si>
    <t xml:space="preserve">U1,U2,U3,U4,U5,U6,U7</t>
  </si>
  <si>
    <t xml:space="preserve">OMITTED_SCOPES</t>
  </si>
  <si>
    <t xml:space="preserve">NONE</t>
  </si>
  <si>
    <t xml:space="preserve">SECTION Z: CURRENT-LINE COMPANION PINS</t>
  </si>
  <si>
    <t xml:space="preserve">RIPPLELOGIC_VERSION</t>
  </si>
  <si>
    <t xml:space="preserve">RIPPLE_MD_VERSION</t>
  </si>
  <si>
    <t xml:space="preserve">AGENT_SYSTEM_VERSION</t>
  </si>
  <si>
    <t xml:space="preserve">ALIGNERS_SHEET_VERSION</t>
  </si>
  <si>
    <t xml:space="preserve">Ripple Aligners Sheet v4.4</t>
  </si>
  <si>
    <t xml:space="preserve">PRIMER_VERSION</t>
  </si>
  <si>
    <t xml:space="preserve">RippleLogic Foundations Primer v3.4</t>
  </si>
  <si>
    <t xml:space="preserve">RPAP_VERSION</t>
  </si>
  <si>
    <t xml:space="preserve">RLS-RFC-0003 v0.1 or NOT_IN_SCOPE</t>
  </si>
  <si>
    <t xml:space="preserve">PFAP_VERSION</t>
  </si>
  <si>
    <t xml:space="preserve">RLS-RFC-0002 v0.1 or NOT_IN_SCOPE</t>
  </si>
  <si>
    <t xml:space="preserve">HASH_BINDING_NOTE</t>
  </si>
  <si>
    <t xml:space="preserve">This workbook's identity is determined by the SHA-256 listed in the sibling release manifest. Consumers MUST verify the manifest hash before treating workbook outputs as canonical.</t>
  </si>
  <si>
    <t xml:space="preserve">SECTION Z: v11.4 MATURITY SURFACES</t>
  </si>
  <si>
    <t xml:space="preserve">KERNEL_USE_POSTURE</t>
  </si>
  <si>
    <t xml:space="preserve">K0_NONE</t>
  </si>
  <si>
    <t xml:space="preserve">See Kernel_Posture</t>
  </si>
  <si>
    <t xml:space="preserve">HDW_CAPTURE_AUDIT</t>
  </si>
  <si>
    <t xml:space="preserve">PRESENT</t>
  </si>
  <si>
    <t xml:space="preserve">See HDW_Capture_Audit</t>
  </si>
  <si>
    <t xml:space="preserve">PLSS_ESCALATION_REGISTER</t>
  </si>
  <si>
    <t xml:space="preserve">See PLSS_Escalation</t>
  </si>
  <si>
    <t xml:space="preserve">BIO_SGP_MATURITY</t>
  </si>
  <si>
    <t xml:space="preserve">NA_NOT_INVOKED</t>
  </si>
  <si>
    <t xml:space="preserve">See BioSGP_Maturity</t>
  </si>
  <si>
    <t xml:space="preserve">DEPLOYMENT_CONTEXT</t>
  </si>
  <si>
    <t xml:space="preserve">ORG_WORKED_RUN_EXEMPLAR</t>
  </si>
  <si>
    <t xml:space="preserve">See Deployment_Context</t>
  </si>
  <si>
    <t xml:space="preserve">SECTION AA: GATE-CRITICAL CONFIDENCE GUARD</t>
  </si>
  <si>
    <t xml:space="preserve">Rule</t>
  </si>
  <si>
    <t xml:space="preserve">Low confidence in adverse gate-critical impacts cannot by itself reduce RF/NCRC, TRC, or material CSV severity below a conservative admissibility-relevant bound.</t>
  </si>
  <si>
    <t xml:space="preserve">Required disposition</t>
  </si>
  <si>
    <t xml:space="preserve">If the gate outcome could change, apply conservative bound, collect evidence and rerun, narrow claim, downgrade, escalate, or refuse stronger claim.</t>
  </si>
  <si>
    <t xml:space="preserve">Applies to</t>
  </si>
  <si>
    <t xml:space="preserve">C_r rights-covered cells; C_cat catastrophe cells; material CSV indicators and containing-system diagnostics.</t>
  </si>
  <si>
    <t xml:space="preserve">Nonclaim</t>
  </si>
  <si>
    <t xml:space="preserve">This workbook remains a worked-run exemplar, not a validated confidence-calibration instrument.</t>
  </si>
  <si>
    <t xml:space="preserve">SANITY CHECKLIST - COMPUTED PASS/FAIL (v4.4)</t>
  </si>
  <si>
    <t xml:space="preserve">sanity_checked_by</t>
  </si>
  <si>
    <t xml:space="preserve">OpenAI/James working release pass</t>
  </si>
  <si>
    <t xml:space="preserve">ALL Status cells used by the active sanity surface are FORMULAS comparing Expected vs Actual. Summary counts MUST include every active SC row, including v11.4 reality-grounding, claim-boundary, transition-admissibility, measurement-maturity, and structural-diagnostic-placement checks.</t>
  </si>
  <si>
    <t xml:space="preserve">sanity_checked_at_utc</t>
  </si>
  <si>
    <t xml:space="preserve">2026-06-15T00:00:00Z</t>
  </si>
  <si>
    <t xml:space="preserve">Pattern: =IF(ABS(C-D)&lt;1E-9,"PASS","FAIL") for numeric, =IF(C=D,"PASS","FAIL") for text</t>
  </si>
  <si>
    <t xml:space="preserve">workbook_sha256_ref</t>
  </si>
  <si>
    <t xml:space="preserve">See sibling SHA-256 manifest / release manifest (self-hash not embedded in workbook byte stream).</t>
  </si>
  <si>
    <t xml:space="preserve">Computed checks: 75/75 PASS. Manual reviewer items CGP-1 through CGP-4 require human sign-off and are not auto-counted as computed PASS rows; no stronger claim may rely on them without reviewer sign-off.</t>
  </si>
  <si>
    <t xml:space="preserve">manifest_required_for_publish</t>
  </si>
  <si>
    <t xml:space="preserve">PASS</t>
  </si>
  <si>
    <t xml:space="preserve">Check_ID</t>
  </si>
  <si>
    <t xml:space="preserve">Check Name</t>
  </si>
  <si>
    <t xml:space="preserve">Expected</t>
  </si>
  <si>
    <t xml:space="preserve">Actual</t>
  </si>
  <si>
    <t xml:space="preserve">Source</t>
  </si>
  <si>
    <t xml:space="preserve">SC-01</t>
  </si>
  <si>
    <t xml:space="preserve">SHEET_VERSION exact</t>
  </si>
  <si>
    <t xml:space="preserve">CANON!B7</t>
  </si>
  <si>
    <t xml:space="preserve">SC-02</t>
  </si>
  <si>
    <t xml:space="preserve">Config version</t>
  </si>
  <si>
    <t xml:space="preserve">Config!B2</t>
  </si>
  <si>
    <t xml:space="preserve">SC-03</t>
  </si>
  <si>
    <t xml:space="preserve">PCC version</t>
  </si>
  <si>
    <t xml:space="preserve">PCC!B11</t>
  </si>
  <si>
    <t xml:space="preserve">SC-04</t>
  </si>
  <si>
    <t xml:space="preserve">Framework (Config vs CANON)</t>
  </si>
  <si>
    <t xml:space="preserve">CANON!B5</t>
  </si>
  <si>
    <t xml:space="preserve">SC-05</t>
  </si>
  <si>
    <t xml:space="preserve">CVaR_A TRC=CANON</t>
  </si>
  <si>
    <t xml:space="preserve">TRC vs CANON</t>
  </si>
  <si>
    <t xml:space="preserve">SC-06</t>
  </si>
  <si>
    <t xml:space="preserve">CVaR_B TRC=CANON</t>
  </si>
  <si>
    <t xml:space="preserve">SC-07</t>
  </si>
  <si>
    <t xml:space="preserve">Dashboard CVaR</t>
  </si>
  <si>
    <t xml:space="preserve">Dashboard</t>
  </si>
  <si>
    <t xml:space="preserve">SC-08</t>
  </si>
  <si>
    <t xml:space="preserve">Rights count=8</t>
  </si>
  <si>
    <t xml:space="preserve">CANON!B38</t>
  </si>
  <si>
    <t xml:space="preserve">SC-09</t>
  </si>
  <si>
    <t xml:space="preserve">NCRC mins populated (A+B)</t>
  </si>
  <si>
    <t xml:space="preserve">NCRC</t>
  </si>
  <si>
    <t xml:space="preserve">SC-10</t>
  </si>
  <si>
    <t xml:space="preserve">NCRC_A status</t>
  </si>
  <si>
    <t xml:space="preserve">CANON!B51</t>
  </si>
  <si>
    <t xml:space="preserve">SC-11</t>
  </si>
  <si>
    <t xml:space="preserve">NCRC_B status</t>
  </si>
  <si>
    <t xml:space="preserve">CANON!B52</t>
  </si>
  <si>
    <t xml:space="preserve">SC-12</t>
  </si>
  <si>
    <t xml:space="preserve">θ_pos matches</t>
  </si>
  <si>
    <t xml:space="preserve">Containment</t>
  </si>
  <si>
    <t xml:space="preserve">SC-13</t>
  </si>
  <si>
    <t xml:space="preserve">τ_c matches</t>
  </si>
  <si>
    <t xml:space="preserve">SC-14</t>
  </si>
  <si>
    <t xml:space="preserve">τ_TRC TRC=CANON</t>
  </si>
  <si>
    <t xml:space="preserve">TRC!B9</t>
  </si>
  <si>
    <t xml:space="preserve">SC-15</t>
  </si>
  <si>
    <t xml:space="preserve">Mandatory tails</t>
  </si>
  <si>
    <t xml:space="preserve">WTSL</t>
  </si>
  <si>
    <t xml:space="preserve">SC-16</t>
  </si>
  <si>
    <t xml:space="preserve">Tails covered</t>
  </si>
  <si>
    <t xml:space="preserve">SC-17</t>
  </si>
  <si>
    <t xml:space="preserve">No blank C_cat</t>
  </si>
  <si>
    <t xml:space="preserve">CANON!B76</t>
  </si>
  <si>
    <t xml:space="preserve">SC-18</t>
  </si>
  <si>
    <t xml:space="preserve">Authority selection mode (non-decisive run)</t>
  </si>
  <si>
    <t xml:space="preserve">CANON!B70</t>
  </si>
  <si>
    <t xml:space="preserve">Expected: non-deterministic authority record because the worked run is intentionally non-decisive; this is a pass, not a release failure.</t>
  </si>
  <si>
    <t xml:space="preserve">SC-19</t>
  </si>
  <si>
    <t xml:space="preserve">Authority-selected option after non-decisive framework verdict</t>
  </si>
  <si>
    <t xml:space="preserve">CANON!B71</t>
  </si>
  <si>
    <t xml:space="preserve">SC-20</t>
  </si>
  <si>
    <t xml:space="preserve">TRC outputs populated (A+B)</t>
  </si>
  <si>
    <t xml:space="preserve">CANON</t>
  </si>
  <si>
    <t xml:space="preserve">SC-21</t>
  </si>
  <si>
    <t xml:space="preserve">Emergency mode</t>
  </si>
  <si>
    <t xml:space="preserve">SC-22</t>
  </si>
  <si>
    <t xml:space="preserve">No INVALID flags</t>
  </si>
  <si>
    <t xml:space="preserve">Audit_Flags!B21</t>
  </si>
  <si>
    <t xml:space="preserve">SC-23</t>
  </si>
  <si>
    <t xml:space="preserve">Claimable status</t>
  </si>
  <si>
    <t xml:space="preserve">CANON!B81</t>
  </si>
  <si>
    <t xml:space="preserve">SC-24</t>
  </si>
  <si>
    <t xml:space="preserve">CVaR_A recompute</t>
  </si>
  <si>
    <t xml:space="preserve">D.7</t>
  </si>
  <si>
    <t xml:space="preserve">SC-25</t>
  </si>
  <si>
    <t xml:space="preserve">CVaR_B recompute</t>
  </si>
  <si>
    <t xml:space="preserve">SC-26</t>
  </si>
  <si>
    <t xml:space="preserve">Schema blocking fail count = 0 (no standalone schema validation claim)</t>
  </si>
  <si>
    <t xml:space="preserve">Schema boundary: workbook does not claim repository-level schema validation unless separate schema assets are manifest-bundled and hash-pinned.</t>
  </si>
  <si>
    <t xml:space="preserve">SC-27</t>
  </si>
  <si>
    <t xml:space="preserve">CANON!B82</t>
  </si>
  <si>
    <t xml:space="preserve">SC-28</t>
  </si>
  <si>
    <t xml:space="preserve">No placeholders</t>
  </si>
  <si>
    <t xml:space="preserve">CANON!B116</t>
  </si>
  <si>
    <t xml:space="preserve">SC-29</t>
  </si>
  <si>
    <t xml:space="preserve">Audit consistent</t>
  </si>
  <si>
    <t xml:space="preserve">Audit</t>
  </si>
  <si>
    <t xml:space="preserve">SC-30</t>
  </si>
  <si>
    <t xml:space="preserve">Manual override</t>
  </si>
  <si>
    <t xml:space="preserve">Audit_Flags!B18</t>
  </si>
  <si>
    <t xml:space="preserve">COMPUTED SUMMARY</t>
  </si>
  <si>
    <t xml:space="preserve">Total Checks:</t>
  </si>
  <si>
    <t xml:space="preserve">Summary note: Total / Pass / Fail counts include all active sanity checks, including v11.4 claim-boundary, transition-admissibility, measurement-maturity, ReferenceStructureRecord, integration-hardening, and publishability-label checks.</t>
  </si>
  <si>
    <t xml:space="preserve">SC IDs are non-contiguous because some checks are reserved, retired, or skipped; Total Checks counts active formula-backed sanity rows only.</t>
  </si>
  <si>
    <t xml:space="preserve">PASS_COUNT:</t>
  </si>
  <si>
    <t xml:space="preserve">FAIL_COUNT:</t>
  </si>
  <si>
    <t xml:space="preserve">OVERALL:</t>
  </si>
  <si>
    <t xml:space="preserve">✓ PASS</t>
  </si>
  <si>
    <t xml:space="preserve">SC-31</t>
  </si>
  <si>
    <t xml:space="preserve">SCI ≥ Tier minimum</t>
  </si>
  <si>
    <t xml:space="preserve">CANON SCI_LEVEL</t>
  </si>
  <si>
    <t xml:space="preserve">SC-32</t>
  </si>
  <si>
    <t xml:space="preserve">ScopeCoverage mode set</t>
  </si>
  <si>
    <t xml:space="preserve">CANON SCOPE_COVERAGE_MODE</t>
  </si>
  <si>
    <t xml:space="preserve">SC-33</t>
  </si>
  <si>
    <t xml:space="preserve">Uncertainty method declared</t>
  </si>
  <si>
    <t xml:space="preserve">CANON!B16</t>
  </si>
  <si>
    <t xml:space="preserve">Checks that UNCERTAINTY_METHOD is declared as A, B, or C.</t>
  </si>
  <si>
    <t xml:space="preserve">SC-34</t>
  </si>
  <si>
    <t xml:space="preserve">SGP version (Config vs CANON)</t>
  </si>
  <si>
    <t xml:space="preserve">Config!B5 vs CANON!B6</t>
  </si>
  <si>
    <t xml:space="preserve">SC-35</t>
  </si>
  <si>
    <t xml:space="preserve">Union floors preserved</t>
  </si>
  <si>
    <t xml:space="preserve">PLSS_Local_Scope floor vector / Parameters floor table</t>
  </si>
  <si>
    <t xml:space="preserve">Checks canon Section 13.1 union floors.</t>
  </si>
  <si>
    <t xml:space="preserve">SC-36</t>
  </si>
  <si>
    <t xml:space="preserve">Dimension floors declared</t>
  </si>
  <si>
    <t xml:space="preserve">Parameters Section 13.1 floor table</t>
  </si>
  <si>
    <t xml:space="preserve">Checks canon Section 13.1 dimension floors.</t>
  </si>
  <si>
    <t xml:space="preserve">SC-37</t>
  </si>
  <si>
    <t xml:space="preserve">ripple.md version pinned</t>
  </si>
  <si>
    <t xml:space="preserve">CANON!B139</t>
  </si>
  <si>
    <t xml:space="preserve">SC-38</t>
  </si>
  <si>
    <t xml:space="preserve">Agent System version pinned</t>
  </si>
  <si>
    <t xml:space="preserve">CANON!B140</t>
  </si>
  <si>
    <t xml:space="preserve">SC-39</t>
  </si>
  <si>
    <t xml:space="preserve">RPAP version declared</t>
  </si>
  <si>
    <t xml:space="preserve">CANON!B127</t>
  </si>
  <si>
    <t xml:space="preserve">SC-40</t>
  </si>
  <si>
    <t xml:space="preserve">PFAP version declared</t>
  </si>
  <si>
    <t xml:space="preserve">CANON!B128</t>
  </si>
  <si>
    <t xml:space="preserve">SC-41</t>
  </si>
  <si>
    <t xml:space="preserve">Hash binding note present</t>
  </si>
  <si>
    <t xml:space="preserve">nonblank</t>
  </si>
  <si>
    <t xml:space="preserve">CANON!B129</t>
  </si>
  <si>
    <t xml:space="preserve">SC-42</t>
  </si>
  <si>
    <t xml:space="preserve">ProjectionPreRegistration present</t>
  </si>
  <si>
    <t xml:space="preserve">sheet exists</t>
  </si>
  <si>
    <t xml:space="preserve">ProjectionPreRegistration</t>
  </si>
  <si>
    <t xml:space="preserve">SC-43</t>
  </si>
  <si>
    <t xml:space="preserve">No post-registration modification</t>
  </si>
  <si>
    <t xml:space="preserve">no flag</t>
  </si>
  <si>
    <t xml:space="preserve">SC-44</t>
  </si>
  <si>
    <t xml:space="preserve">ExecutionStability sheet present</t>
  </si>
  <si>
    <t xml:space="preserve">ExecutionStability</t>
  </si>
  <si>
    <t xml:space="preserve">SC-45</t>
  </si>
  <si>
    <t xml:space="preserve">ESD regime token populated</t>
  </si>
  <si>
    <t xml:space="preserve">ESC_STABLE_MONITOR</t>
  </si>
  <si>
    <t xml:space="preserve">ExecutionStability!B18</t>
  </si>
  <si>
    <t xml:space="preserve">SC-46</t>
  </si>
  <si>
    <t xml:space="preserve">ESD claim boundary present</t>
  </si>
  <si>
    <t xml:space="preserve">ExecutionStability!B23</t>
  </si>
  <si>
    <t xml:space="preserve">SC-47</t>
  </si>
  <si>
    <t xml:space="preserve">Endpoint/refusal tokens block execution</t>
  </si>
  <si>
    <t xml:space="preserve">rule present</t>
  </si>
  <si>
    <t xml:space="preserve">SC-48</t>
  </si>
  <si>
    <t xml:space="preserve">v4.4/Core Release 2026.09 companion pins synchronized</t>
  </si>
  <si>
    <t xml:space="preserve">v4.4/v11.4/v6.4/v4.4/v11.4</t>
  </si>
  <si>
    <t xml:space="preserve">CANON/Config/PCC</t>
  </si>
  <si>
    <t xml:space="preserve">SC-60</t>
  </si>
  <si>
    <t xml:space="preserve">Worked-run claimability distinguished from ProofPack readiness</t>
  </si>
  <si>
    <t xml:space="preserve">SC-61</t>
  </si>
  <si>
    <t xml:space="preserve">TransitionAdmissibility sheet present and populated</t>
  </si>
  <si>
    <t xml:space="preserve">TransitionAdmissibility</t>
  </si>
  <si>
    <t xml:space="preserve">SC-62</t>
  </si>
  <si>
    <t xml:space="preserve">UCI_Maturity sheet present</t>
  </si>
  <si>
    <t xml:space="preserve">UCI_Maturity</t>
  </si>
  <si>
    <t xml:space="preserve">SC-63</t>
  </si>
  <si>
    <t xml:space="preserve">Kernel_Posture sheet present</t>
  </si>
  <si>
    <t xml:space="preserve">Kernel_Posture</t>
  </si>
  <si>
    <t xml:space="preserve">SC-64</t>
  </si>
  <si>
    <t xml:space="preserve">HDW_Capture_Audit sheet present</t>
  </si>
  <si>
    <t xml:space="preserve">HDW_Capture_Audit</t>
  </si>
  <si>
    <t xml:space="preserve">SC-65</t>
  </si>
  <si>
    <t xml:space="preserve">PLSS_Escalation sheet present</t>
  </si>
  <si>
    <t xml:space="preserve">PLSS_Escalation</t>
  </si>
  <si>
    <t xml:space="preserve">SC-66</t>
  </si>
  <si>
    <t xml:space="preserve">BioSGP_Maturity sheet present</t>
  </si>
  <si>
    <t xml:space="preserve">BioSGP_Maturity</t>
  </si>
  <si>
    <t xml:space="preserve">SC-67</t>
  </si>
  <si>
    <t xml:space="preserve">Deployment_Context sheet present</t>
  </si>
  <si>
    <t xml:space="preserve">Deployment_Context</t>
  </si>
  <si>
    <t xml:space="preserve">SC-68</t>
  </si>
  <si>
    <t xml:space="preserve">Evidence_Status_Tokens present and populated</t>
  </si>
  <si>
    <t xml:space="preserve">Evidence_Status_Tokens</t>
  </si>
  <si>
    <t xml:space="preserve">SC-69</t>
  </si>
  <si>
    <t xml:space="preserve">Compact_Profiles present and populated</t>
  </si>
  <si>
    <t xml:space="preserve">Compact_Profiles</t>
  </si>
  <si>
    <t xml:space="preserve">SC-70</t>
  </si>
  <si>
    <t xml:space="preserve">SGP split guardrail outputs disclosed</t>
  </si>
  <si>
    <t xml:space="preserve">SGP_Split_Guardrail</t>
  </si>
  <si>
    <t xml:space="preserve">SC-71</t>
  </si>
  <si>
    <t xml:space="preserve">Validation_Roadmap present and populated</t>
  </si>
  <si>
    <t xml:space="preserve">Validation_Roadmap</t>
  </si>
  <si>
    <t xml:space="preserve">SC-72</t>
  </si>
  <si>
    <t xml:space="preserve">Boundary_Risk_Register present and formula-linked</t>
  </si>
  <si>
    <t xml:space="preserve">Boundary_Risk_Register</t>
  </si>
  <si>
    <t xml:space="preserve">SC-73</t>
  </si>
  <si>
    <t xml:space="preserve">PCC Section 26 evidence/legitimacy disclosure present</t>
  </si>
  <si>
    <t xml:space="preserve">PCC</t>
  </si>
  <si>
    <t xml:space="preserve">SC-74</t>
  </si>
  <si>
    <t xml:space="preserve">SGP split MPS/GPR/SPR formula surface active</t>
  </si>
  <si>
    <t xml:space="preserve">SC-75</t>
  </si>
  <si>
    <t xml:space="preserve">Evidence status PCC bridge populated</t>
  </si>
  <si>
    <t xml:space="preserve">PCC / Evidence_Status_Tokens</t>
  </si>
  <si>
    <t xml:space="preserve">SC-76</t>
  </si>
  <si>
    <t xml:space="preserve">Boundary risk formula statuses pass</t>
  </si>
  <si>
    <t xml:space="preserve">SC-77</t>
  </si>
  <si>
    <t xml:space="preserve">v11.4 integration checks all pass</t>
  </si>
  <si>
    <t xml:space="preserve">Sanity_Checklist</t>
  </si>
  <si>
    <t xml:space="preserve">SC-78</t>
  </si>
  <si>
    <t xml:space="preserve">SGP_Input visible version synchronized</t>
  </si>
  <si>
    <t xml:space="preserve">SGP_Input!A4/B1</t>
  </si>
  <si>
    <t xml:space="preserve">SC-79</t>
  </si>
  <si>
    <t xml:space="preserve">RLS live union weights match PLSS final weights</t>
  </si>
  <si>
    <t xml:space="preserve">RLS!I53:I59 vs PLSS_Local_Scope!E12:E18</t>
  </si>
  <si>
    <t xml:space="preserve">SC-80</t>
  </si>
  <si>
    <t xml:space="preserve">RLS union weights sum to 1</t>
  </si>
  <si>
    <t xml:space="preserve">RLS!I53:I59</t>
  </si>
  <si>
    <t xml:space="preserve">SC-81</t>
  </si>
  <si>
    <t xml:space="preserve">RLS dimension weights sum to 1</t>
  </si>
  <si>
    <t xml:space="preserve">RLS!B52:H52</t>
  </si>
  <si>
    <t xml:space="preserve">SC-82</t>
  </si>
  <si>
    <t xml:space="preserve">RLS displayed values match recomputation</t>
  </si>
  <si>
    <t xml:space="preserve">RLS displayed values vs SUMPRODUCT recompute</t>
  </si>
  <si>
    <t xml:space="preserve">SC-83</t>
  </si>
  <si>
    <t xml:space="preserve">Workbook publishability label is scoped</t>
  </si>
  <si>
    <t xml:space="preserve">Release_Notes!A8</t>
  </si>
  <si>
    <t xml:space="preserve">SC-84</t>
  </si>
  <si>
    <t xml:space="preserve">ReferenceStructureRecord sheet present</t>
  </si>
  <si>
    <t xml:space="preserve">ReferenceStructureRecord</t>
  </si>
  <si>
    <t xml:space="preserve">SC-85</t>
  </si>
  <si>
    <t xml:space="preserve">ReferenceStructureRecord worked-run row complete</t>
  </si>
  <si>
    <t xml:space="preserve">COMPLETE</t>
  </si>
  <si>
    <t xml:space="preserve">ReferenceStructureRecord!Z2</t>
  </si>
  <si>
    <t xml:space="preserve">SC-86</t>
  </si>
  <si>
    <t xml:space="preserve">PCC/Dashboard ReferenceStructureRecord linkage present</t>
  </si>
  <si>
    <t xml:space="preserve">PCC Section 26 / Dashboard rows 66-70</t>
  </si>
  <si>
    <t xml:space="preserve">CGP-1</t>
  </si>
  <si>
    <t xml:space="preserve">Category Grounding reviewed for material categories</t>
  </si>
  <si>
    <t xml:space="preserve">Category_Grounding</t>
  </si>
  <si>
    <t xml:space="preserve">Required for material claim-bearing runs</t>
  </si>
  <si>
    <t xml:space="preserve">MANUAL_REVIEW</t>
  </si>
  <si>
    <t xml:space="preserve">Manual Category Grounding reviewer item; not formula-backed and not included in computed PASS count.</t>
  </si>
  <si>
    <t xml:space="preserve">CGP-2</t>
  </si>
  <si>
    <t xml:space="preserve">Primitive Audit / category boundary not treated as new cascade gate</t>
  </si>
  <si>
    <t xml:space="preserve">Must remain within Reality Grounding</t>
  </si>
  <si>
    <t xml:space="preserve">CGP-3</t>
  </si>
  <si>
    <t xml:space="preserve">Semantic debt flagged when categories are stale, inherited, contested, or unreviewed</t>
  </si>
  <si>
    <t xml:space="preserve">Review before stronger public/conformance claims</t>
  </si>
  <si>
    <t xml:space="preserve">CGP-4</t>
  </si>
  <si>
    <t xml:space="preserve">No category uncertainty laundered through RLS, PLSS, HDW, PCC, or authority selection</t>
  </si>
  <si>
    <t xml:space="preserve">Narrow, escalate, monitor, sensitivity-only, or refuse</t>
  </si>
  <si>
    <t xml:space="preserve">RIPPLELOGIC ALIGNERS SHEET v4.4</t>
  </si>
  <si>
    <t xml:space="preserve">Package release</t>
  </si>
  <si>
    <t xml:space="preserve">MathGov framework / RippleLogic Core Release 2026.09</t>
  </si>
  <si>
    <t xml:space="preserve">Canon version</t>
  </si>
  <si>
    <t xml:space="preserve">RippleLogic Canon v11.4</t>
  </si>
  <si>
    <t xml:space="preserve">SGP version</t>
  </si>
  <si>
    <t xml:space="preserve">ripple.md version</t>
  </si>
  <si>
    <t xml:space="preserve">Agent System version</t>
  </si>
  <si>
    <t xml:space="preserve">Primer version</t>
  </si>
  <si>
    <t xml:space="preserve">Aligners Sheet version</t>
  </si>
  <si>
    <t xml:space="preserve">RippleLogic Aligners Sheet v4.4</t>
  </si>
  <si>
    <t xml:space="preserve">TIER &amp; CONTEXT</t>
  </si>
  <si>
    <t xml:space="preserve">Tier Level:</t>
  </si>
  <si>
    <t xml:space="preserve">1=Personal, 2=Core, 3=High-Stakes, 4=Design target (claim prohibited per v11.4)</t>
  </si>
  <si>
    <t xml:space="preserve">Context Type:</t>
  </si>
  <si>
    <t xml:space="preserve">τ_TRC for ORG:</t>
  </si>
  <si>
    <t xml:space="preserve">AI Deployment:</t>
  </si>
  <si>
    <t xml:space="preserve">(YES/NO; makes WTSL-AIX mandatory)</t>
  </si>
  <si>
    <t xml:space="preserve">PROPAGATION &amp; WEIGHTS</t>
  </si>
  <si>
    <t xml:space="preserve">Propagation Mode:</t>
  </si>
  <si>
    <t xml:space="preserve">(NONE/QUICK; worked run currently uses NONE)</t>
  </si>
  <si>
    <t xml:space="preserve">Kernel Status:</t>
  </si>
  <si>
    <t xml:space="preserve">K0_NONE (see Kernel_Posture sheet)</t>
  </si>
  <si>
    <t xml:space="preserve">Numerical propagation is not used in this worked-run exemplar; Kernel_Posture records the claim-support posture. PLSS_Local_Scope remains the local-scope weighting helper.</t>
  </si>
  <si>
    <t xml:space="preserve">Weight Profile:</t>
  </si>
  <si>
    <t xml:space="preserve">PLSS_LOCAL</t>
  </si>
  <si>
    <t xml:space="preserve">Weight/scope profile for union weighting (PLSS_LOCAL or UNIFORM)</t>
  </si>
  <si>
    <t xml:space="preserve">Current option-surface:</t>
  </si>
  <si>
    <t xml:space="preserve">Two-option comparison only (A/B)</t>
  </si>
  <si>
    <t xml:space="preserve">Publication disclosure: native final-selection logic currently compares Option A vs Option B only.</t>
  </si>
  <si>
    <t xml:space="preserve">MODE LOCKS</t>
  </si>
  <si>
    <t xml:space="preserve">σ_est (RLS uncertainty)</t>
  </si>
  <si>
    <t xml:space="preserve">Tier 2: optional (can support Gap/σ review). Tier 3+: required for decisiveness checks. Tier 4+: prefer empirically estimated σ.</t>
  </si>
  <si>
    <t xml:space="preserve">σ_est Available:</t>
  </si>
  <si>
    <t xml:space="preserve">(YES/NO; enables Gap/σ test)</t>
  </si>
  <si>
    <t xml:space="preserve">δ (discrimination threshold):</t>
  </si>
  <si>
    <t xml:space="preserve">(Gap/σ &gt; δ for decisive)</t>
  </si>
  <si>
    <t xml:space="preserve">VERSION SEMANTICS</t>
  </si>
  <si>
    <t xml:space="preserve">Package release:</t>
  </si>
  <si>
    <t xml:space="preserve">Workbook-correctness and verification-integrity patch</t>
  </si>
  <si>
    <t xml:space="preserve">Canon content:</t>
  </si>
  <si>
    <t xml:space="preserve">See Version_Semantics sheet</t>
  </si>
  <si>
    <t xml:space="preserve">Workbook version:</t>
  </si>
  <si>
    <t xml:space="preserve">FrameworkVerdict computed live from CANON cascade cells</t>
  </si>
  <si>
    <t xml:space="preserve">Verification gate:</t>
  </si>
  <si>
    <t xml:space="preserve">python3 verify_release.py --recalc</t>
  </si>
  <si>
    <t xml:space="preserve">Then sha256sum -c SHA256SUMS.txt</t>
  </si>
  <si>
    <t xml:space="preserve">CANONICAL PARAMETERS (LOCKED)</t>
  </si>
  <si>
    <t xml:space="preserve">RIGHTS THRESHOLDS (θ_r) - Canon Anchor Order</t>
  </si>
  <si>
    <t xml:space="preserve">Coverage Summary</t>
  </si>
  <si>
    <t xml:space="preserve">U1-U6×D2, plus U6×D7</t>
  </si>
  <si>
    <t xml:space="preserve">U1-U6×D2</t>
  </si>
  <si>
    <t xml:space="preserve">U1-U6×D5, plus U3-U6×D3</t>
  </si>
  <si>
    <t xml:space="preserve">U1-U6×D1,D2</t>
  </si>
  <si>
    <t xml:space="preserve">U1-U6×D3,D5</t>
  </si>
  <si>
    <t xml:space="preserve">U4-U6×D3,D4,D5</t>
  </si>
  <si>
    <t xml:space="preserve">U1-U6×D4,D5</t>
  </si>
  <si>
    <t xml:space="preserve">U6×D7, U7×D7</t>
  </si>
  <si>
    <t xml:space="preserve">TRC CONTEXT THRESHOLDS (τ_TRC)</t>
  </si>
  <si>
    <t xml:space="preserve">PERS</t>
  </si>
  <si>
    <t xml:space="preserve">REV</t>
  </si>
  <si>
    <t xml:space="preserve">IRREV</t>
  </si>
  <si>
    <t xml:space="preserve">XRISK</t>
  </si>
  <si>
    <t xml:space="preserve">SCORING PARAMETERS</t>
  </si>
  <si>
    <t xml:space="preserve">β (saturation)</t>
  </si>
  <si>
    <t xml:space="preserve">β_prop</t>
  </si>
  <si>
    <t xml:space="preserve">δ (discrimination)</t>
  </si>
  <si>
    <t xml:space="preserve">τ_c (containment)</t>
  </si>
  <si>
    <t xml:space="preserve">θ_pos</t>
  </si>
  <si>
    <t xml:space="preserve">α (CVaR)  -  Personal</t>
  </si>
  <si>
    <t xml:space="preserve">α (CVaR)  -  Organizational</t>
  </si>
  <si>
    <t xml:space="preserve">α (CVaR)  -  Reversible policy</t>
  </si>
  <si>
    <t xml:space="preserve">α (CVaR)  -  Irreversible policy</t>
  </si>
  <si>
    <t xml:space="preserve">Tier 2 default: e_k = 1.00 unless a named governed instrument is explicitly declared.</t>
  </si>
  <si>
    <t xml:space="preserve">α (CVaR)  -  Existential</t>
  </si>
  <si>
    <t xml:space="preserve">Tier 3 governed interval only; non-default e_k requires provenance + sensitivity disclosure.</t>
  </si>
  <si>
    <t xml:space="preserve">p_floor</t>
  </si>
  <si>
    <t xml:space="preserve">c_min</t>
  </si>
  <si>
    <t xml:space="preserve">e_min (Tier 3 governed interval)</t>
  </si>
  <si>
    <t xml:space="preserve">e_max (Tier 3 governed interval)</t>
  </si>
  <si>
    <t xml:space="preserve">U4 Organization</t>
  </si>
  <si>
    <t xml:space="preserve">U5 Polity</t>
  </si>
  <si>
    <t xml:space="preserve">U6 Humanity/CMIU</t>
  </si>
  <si>
    <t xml:space="preserve">U7 Biosphere</t>
  </si>
  <si>
    <t xml:space="preserve">DIMENSION WEIGHTS (v_d) - UNIFORM</t>
  </si>
  <si>
    <t xml:space="preserve">D1 Material</t>
  </si>
  <si>
    <t xml:space="preserve">D2 Health</t>
  </si>
  <si>
    <t xml:space="preserve">D3 Social</t>
  </si>
  <si>
    <t xml:space="preserve">D4 Knowledge</t>
  </si>
  <si>
    <t xml:space="preserve">D5 Agency</t>
  </si>
  <si>
    <t xml:space="preserve">D6 Meaning</t>
  </si>
  <si>
    <t xml:space="preserve">D7 Environment</t>
  </si>
  <si>
    <t xml:space="preserve">SECTION 13.1 FLOOR TABLES (CANON)</t>
  </si>
  <si>
    <t xml:space="preserve">UNION FLOOR PRESERVATION (w_u floor)</t>
  </si>
  <si>
    <t xml:space="preserve">Union Scope</t>
  </si>
  <si>
    <t xml:space="preserve">Floor</t>
  </si>
  <si>
    <t xml:space="preserve">U1 Self</t>
  </si>
  <si>
    <t xml:space="preserve">U2 Household</t>
  </si>
  <si>
    <t xml:space="preserve">U3 Community</t>
  </si>
  <si>
    <t xml:space="preserve">DIMENSION FLOOR PRESERVATION (v_d floor)</t>
  </si>
  <si>
    <t xml:space="preserve">Dimension</t>
  </si>
  <si>
    <t xml:space="preserve">EXEMPLAR NOTE: Uniform v_d = 1/7 each. Non-uniform HDW dimension allocation is not exercised here. Floor check: 1/7 = 0.1429 &gt; 0.10.</t>
  </si>
  <si>
    <t xml:space="preserve">NOTE: v4.4 defaults to PLSS_Local_Scope-derived union weights (floor-preserving residual allocation).</t>
  </si>
  <si>
    <t xml:space="preserve">Set q_u on PLSS_Local_Scope; use equal q_u values for a uniform baseline.</t>
  </si>
  <si>
    <t xml:space="preserve">v11.4 NOTE: Uncertainty estimation REQUIRED for all active cells at Tier 2+</t>
  </si>
  <si>
    <t xml:space="preserve">Active cell definition: m(u,d)=1 for RLS ∪ rights-covered ∪ catastrophe ∪ governance minimum</t>
  </si>
  <si>
    <t xml:space="preserve">PRACTICAL LOCAL SCOPE SCORING (PLSS) - v4.4 HELPER</t>
  </si>
  <si>
    <t xml:space="preserve">Compute floor-preserving local union weights for RippleLogic v11.4. Enter q_u values for the unions that are actually live in the decision; the sheet preserves constitutional floors and allocates only the residual.</t>
  </si>
  <si>
    <t xml:space="preserve">Framework</t>
  </si>
  <si>
    <t xml:space="preserve">SGP</t>
  </si>
  <si>
    <t xml:space="preserve">Sheet Version</t>
  </si>
  <si>
    <t xml:space="preserve">Weight Profile</t>
  </si>
  <si>
    <t xml:space="preserve">Key Rule</t>
  </si>
  <si>
    <t xml:space="preserve">Score near, guard far. PLSS is the zoom lens, not the safety waiver. Structural diagnostics required for Containment remain live even when residual welfare attention is local.</t>
  </si>
  <si>
    <t xml:space="preserve">q_u</t>
  </si>
  <si>
    <t xml:space="preserve">w_u^floor</t>
  </si>
  <si>
    <t xml:space="preserve">rho_u</t>
  </si>
  <si>
    <t xml:space="preserve">w_u^PLSS</t>
  </si>
  <si>
    <t xml:space="preserve">Role</t>
  </si>
  <si>
    <t xml:space="preserve">Note</t>
  </si>
  <si>
    <t xml:space="preserve">q_u ReasonCode</t>
  </si>
  <si>
    <t xml:space="preserve">q_u SourceNote</t>
  </si>
  <si>
    <t xml:space="preserve">Near-field self</t>
  </si>
  <si>
    <t xml:space="preserve">NEAR_FIELD_PROMINENCE</t>
  </si>
  <si>
    <t xml:space="preserve">Near-field lived impact emphasis for self.</t>
  </si>
  <si>
    <t xml:space="preserve">Primary directly lived/support unit</t>
  </si>
  <si>
    <t xml:space="preserve">Primary household/support exposure.</t>
  </si>
  <si>
    <t xml:space="preserve">Local repeated-contact network</t>
  </si>
  <si>
    <t xml:space="preserve">Local repeated-interaction network exposure.</t>
  </si>
  <si>
    <t xml:space="preserve">Structured institution involved</t>
  </si>
  <si>
    <t xml:space="preserve">Organizational operational exposure.</t>
  </si>
  <si>
    <t xml:space="preserve">Governance/public legitimacy</t>
  </si>
  <si>
    <t xml:space="preserve">GUARDRAIL_SIGNAL</t>
  </si>
  <si>
    <t xml:space="preserve">Public-governance spillover review.</t>
  </si>
  <si>
    <t xml:space="preserve">Cross-border/system-wide coordination</t>
  </si>
  <si>
    <t xml:space="preserve">Cross-border/system coordination check.</t>
  </si>
  <si>
    <t xml:space="preserve">Ecological support systems</t>
  </si>
  <si>
    <t xml:space="preserve">Ecological guardrail presence.</t>
  </si>
  <si>
    <t xml:space="preserve">Residual Mass</t>
  </si>
  <si>
    <t xml:space="preserve">Check: Sum w_u^PLSS</t>
  </si>
  <si>
    <t xml:space="preserve">Check: Floors preserved</t>
  </si>
  <si>
    <t xml:space="preserve">Suggested Scope Mode</t>
  </si>
  <si>
    <t xml:space="preserve">Operator Note</t>
  </si>
  <si>
    <t xml:space="preserve">Use PLSS only after RF/NCRC and TRC/Containment are preserved. If broader rights, tail-risk, lock-in, or hidden externalities become plausible, escalate beyond local-only ranking.</t>
  </si>
  <si>
    <t xml:space="preserve">PLSS PCC BLOCK (v11.4 companion disclosure)</t>
  </si>
  <si>
    <t xml:space="preserve">LSS Declaration</t>
  </si>
  <si>
    <t xml:space="preserve">Decision owner, household, community, organization, polity, and biosphere pathways declared through the worked-run stakeholder set for this remote-work policy exemplar.</t>
  </si>
  <si>
    <t xml:space="preserve">Operator Declaration</t>
  </si>
  <si>
    <t xml:space="preserve">PCC.PLSS.Operator: OTHER_DECLARED: DIRECT_Q_NORMALIZATION_V1. q_u values are supplied directly from declared prominence reasoning in this worked-run exemplar; geometric-mean subcomponent construction is not exercised. Residual allocation is performed by direct normalization of q_u, with constitutional floors preserved.</t>
  </si>
  <si>
    <t xml:space="preserve">Scope Posture Classification</t>
  </si>
  <si>
    <t xml:space="preserve">Declared scope posture is surfaced through the Prominent/Guardrail classifications in F12:F18.</t>
  </si>
  <si>
    <t xml:space="preserve">Escalation-Trigger Assessment</t>
  </si>
  <si>
    <t xml:space="preserve">No active ET trigger requiring a broader-scope rerun was identified in this worked-run exemplar; revisit if hidden externalities, rights expansion, catastrophe relevance, or lock-in becomes plausible.</t>
  </si>
  <si>
    <t xml:space="preserve">Fallback Declaration</t>
  </si>
  <si>
    <t xml:space="preserve">If SUM(q_u)=0, the workbook uses the uniform residual fallback (1/7 per scope) exactly as encoded in D12:D18.</t>
  </si>
  <si>
    <t xml:space="preserve">CANONICAL RIGHTS COVERAGE SETS - 70 Entries</t>
  </si>
  <si>
    <t xml:space="preserve">Reference: RippleLogic v11.4 Section 7.2</t>
  </si>
  <si>
    <t xml:space="preserve">#</t>
  </si>
  <si>
    <t xml:space="preserve">U1</t>
  </si>
  <si>
    <t xml:space="preserve">D2</t>
  </si>
  <si>
    <t xml:space="preserve">U2</t>
  </si>
  <si>
    <t xml:space="preserve">U3</t>
  </si>
  <si>
    <t xml:space="preserve">U4</t>
  </si>
  <si>
    <t xml:space="preserve">U5</t>
  </si>
  <si>
    <t xml:space="preserve">U6</t>
  </si>
  <si>
    <t xml:space="preserve">D7</t>
  </si>
  <si>
    <t xml:space="preserve">U7</t>
  </si>
  <si>
    <t xml:space="preserve">D5</t>
  </si>
  <si>
    <t xml:space="preserve">D3</t>
  </si>
  <si>
    <t xml:space="preserve">D1</t>
  </si>
  <si>
    <t xml:space="preserve">D4</t>
  </si>
  <si>
    <t xml:space="preserve">I_prop_A</t>
  </si>
  <si>
    <t xml:space="preserve">I_prop_B</t>
  </si>
  <si>
    <t xml:space="preserve">I_rights_A</t>
  </si>
  <si>
    <t xml:space="preserve">I_rights_B</t>
  </si>
  <si>
    <t xml:space="preserve">Subgroup_Override_A</t>
  </si>
  <si>
    <t xml:space="preserve">Subgroup_Override_B</t>
  </si>
  <si>
    <t xml:space="preserve">Right_clean</t>
  </si>
  <si>
    <t xml:space="preserve">I_rights_A_num</t>
  </si>
  <si>
    <t xml:space="preserve">I_rights_B_num</t>
  </si>
  <si>
    <t xml:space="preserve">Key_A</t>
  </si>
  <si>
    <t xml:space="preserve">Key_B</t>
  </si>
  <si>
    <t xml:space="preserve">CATASTROPHE CELL SET (C_cat) - TRC Loss Computation</t>
  </si>
  <si>
    <t xml:space="preserve">Reference: RippleLogic v11.4 Section 8.3</t>
  </si>
  <si>
    <t xml:space="preserve">BASE SET (Canonical - governance approval required to extend)</t>
  </si>
  <si>
    <t xml:space="preserve">Cell</t>
  </si>
  <si>
    <t xml:space="preserve">Weight (ω_c)</t>
  </si>
  <si>
    <t xml:space="preserve">Rationale</t>
  </si>
  <si>
    <t xml:space="preserve">C1</t>
  </si>
  <si>
    <t xml:space="preserve">D2 (Health)</t>
  </si>
  <si>
    <t xml:space="preserve">Humanity health catastrophe</t>
  </si>
  <si>
    <t xml:space="preserve">C2</t>
  </si>
  <si>
    <t xml:space="preserve">D7 (Environ)</t>
  </si>
  <si>
    <t xml:space="preserve">Humanity-environment interface</t>
  </si>
  <si>
    <t xml:space="preserve">C3</t>
  </si>
  <si>
    <t xml:space="preserve">Biosphere integrity</t>
  </si>
  <si>
    <t xml:space="preserve">Weight Sum Check:</t>
  </si>
  <si>
    <t xml:space="preserve">Must = 1.00</t>
  </si>
  <si>
    <t xml:space="preserve">EXTENSION / WEIGHT GOVERNANCE</t>
  </si>
  <si>
    <t xml:space="preserve">Current posture</t>
  </si>
  <si>
    <t xml:space="preserve">NON-DEFAULT ω_c profile declared for this worked run</t>
  </si>
  <si>
    <t xml:space="preserve">0.35 / 0.30 / 0.35</t>
  </si>
  <si>
    <t xml:space="preserve">Governed disclosure</t>
  </si>
  <si>
    <t xml:space="preserve">If a future run does not declare a non-default profile, revert to the canon’s uniform default over C_cat.</t>
  </si>
  <si>
    <t xml:space="preserve">Default rule</t>
  </si>
  <si>
    <t xml:space="preserve">Uniform over C_cat unless otherwise governed</t>
  </si>
  <si>
    <t xml:space="preserve">Canon Appendix D.6</t>
  </si>
  <si>
    <t xml:space="preserve">  - Documentation in PCC</t>
  </si>
  <si>
    <t xml:space="preserve">  - CCAT_EXTENDED flag set</t>
  </si>
  <si>
    <t xml:space="preserve">CCAT_EXTENDED Flag:</t>
  </si>
  <si>
    <t xml:space="preserve">NO - BASE ONLY</t>
  </si>
  <si>
    <t xml:space="preserve">Teaching note</t>
  </si>
  <si>
    <t xml:space="preserve">Canon default is uniform over C_cat. This exemplar declares a governed non-default profile (0.35 / 0.30 / 0.35) to demonstrate the disclosure path; do not treat these weights as canonical defaults.</t>
  </si>
  <si>
    <t xml:space="preserve">MANDATORY TAIL RISK CATEGORIES (WTSL)</t>
  </si>
  <si>
    <t xml:space="preserve">Reference: RippleLogic v11.4 Section 8.5</t>
  </si>
  <si>
    <t xml:space="preserve">Mandatory tails apply by default.
WTSL-AIX is mandatory if AI deployment OR governance-lock-in triggers are plausible; not only when AI_DEPLOYMENT=YES.</t>
  </si>
  <si>
    <t xml:space="preserve">AIX may also be included voluntarily under precautionary scenario discovery.</t>
  </si>
  <si>
    <t xml:space="preserve">Code</t>
  </si>
  <si>
    <t xml:space="preserve">Category</t>
  </si>
  <si>
    <t xml:space="preserve">Description</t>
  </si>
  <si>
    <t xml:space="preserve">p(cat)</t>
  </si>
  <si>
    <t xml:space="preserve">Pandemic</t>
  </si>
  <si>
    <t xml:space="preserve">Global health crisis</t>
  </si>
  <si>
    <t xml:space="preserve">Climate</t>
  </si>
  <si>
    <t xml:space="preserve">Climate catastrophe</t>
  </si>
  <si>
    <t xml:space="preserve">Financial</t>
  </si>
  <si>
    <t xml:space="preserve">Financial system collapse</t>
  </si>
  <si>
    <t xml:space="preserve">Conflict</t>
  </si>
  <si>
    <t xml:space="preserve">Major armed conflict</t>
  </si>
  <si>
    <t xml:space="preserve">Infrastructure</t>
  </si>
  <si>
    <t xml:space="preserve">Critical infrastructure failure</t>
  </si>
  <si>
    <t xml:space="preserve">AI Risk</t>
  </si>
  <si>
    <t xml:space="preserve">AI misalignment event</t>
  </si>
  <si>
    <t xml:space="preserve">NOT TRIGGERED IN THIS RUN</t>
  </si>
  <si>
    <t xml:space="preserve">CONDITIONAL</t>
  </si>
  <si>
    <t xml:space="preserve">COVERAGE CHECK</t>
  </si>
  <si>
    <t xml:space="preserve">Mandatory Count:</t>
  </si>
  <si>
    <t xml:space="preserve">(5 in this exemplar; 6 if AI deployment or governance-lock-in trigger is plausible)</t>
  </si>
  <si>
    <t xml:space="preserve">Required covered count:</t>
  </si>
  <si>
    <t xml:space="preserve">(AIX/governance-lock-in conditional row not triggered in this exemplar)</t>
  </si>
  <si>
    <t xml:space="preserve">Active mandatory p-sum:</t>
  </si>
  <si>
    <t xml:space="preserve">(excludes WTSL-AIX unless AI/governance-lock-in trigger is plausible; inventory including AIX = 0.40)</t>
  </si>
  <si>
    <t xml:space="preserve">Governance-lock-in trigger logic</t>
  </si>
  <si>
    <t xml:space="preserve">Trigger families</t>
  </si>
  <si>
    <t xml:space="preserve">surveillance expansion; emergency-powers lock-in; due-process collapse; information capture; dependency lock-in; concentrated arbitrary control</t>
  </si>
  <si>
    <t xml:space="preserve">Worked-run posture</t>
  </si>
  <si>
    <t xml:space="preserve">AI_DEPLOYMENT=NO and governance-lock-in triggers not declared in this exemplar; therefore WTSL-AIX is not mandatory here.</t>
  </si>
  <si>
    <t xml:space="preserve">Tier 3 note</t>
  </si>
  <si>
    <t xml:space="preserve">If any trigger is plausible, WTSL-AIX or a governance-lock-in equivalent must be included, grounded, and reviewed before TRC is treated as complete.</t>
  </si>
  <si>
    <t xml:space="preserve">IMPACT INSTANCE INPUT</t>
  </si>
  <si>
    <t xml:space="preserve">Formula surface (current worked-run): Contrib_Base = μ × r × ℓ × c × e × 1 × τ(t); Contrib_Welfare = μ × r × ℓ × c × e × s × τ(t)</t>
  </si>
  <si>
    <t xml:space="preserve">Tier-2 disclosure surface added: ReachBasisType / Denominator / Estimator per logged impact instance.</t>
  </si>
  <si>
    <t xml:space="preserve">v9.x+1 hardening: explicit e_k governance + provenance fields for each logged impact instance.</t>
  </si>
  <si>
    <t xml:space="preserve">Identity condition note. Because all logged instances in this exemplar use the Human Plateau Rule with SG_norm(H) = SG_patient_norm(H) = 1.0, Base-stream and Welfare-stream contributions are numerically identical here. Generalized non-human or mixed-substrate runs require explicit downstream stream separation.</t>
  </si>
  <si>
    <t xml:space="preserve">ID</t>
  </si>
  <si>
    <t xml:space="preserve">Opt</t>
  </si>
  <si>
    <t xml:space="preserve">Dim</t>
  </si>
  <si>
    <t xml:space="preserve">μ</t>
  </si>
  <si>
    <t xml:space="preserve">r</t>
  </si>
  <si>
    <t xml:space="preserve">ℓ</t>
  </si>
  <si>
    <t xml:space="preserve">c</t>
  </si>
  <si>
    <t xml:space="preserve">t</t>
  </si>
  <si>
    <t xml:space="preserve">e</t>
  </si>
  <si>
    <t xml:space="preserve">s</t>
  </si>
  <si>
    <t xml:space="preserve">τ(t)</t>
  </si>
  <si>
    <t xml:space="preserve">Contrib</t>
  </si>
  <si>
    <t xml:space="preserve">ReachBasisType</t>
  </si>
  <si>
    <t xml:space="preserve">ReachBasisDenominator</t>
  </si>
  <si>
    <t xml:space="preserve">ReachBasisEstimator</t>
  </si>
  <si>
    <t xml:space="preserve">e_k_ReasonCode</t>
  </si>
  <si>
    <t xml:space="preserve">e_k_DefaultCounterfactual</t>
  </si>
  <si>
    <t xml:space="preserve">Input_Provenance_Note</t>
  </si>
  <si>
    <t xml:space="preserve">Contrib_Base</t>
  </si>
  <si>
    <t xml:space="preserve">Contrib_Welfare</t>
  </si>
  <si>
    <t xml:space="preserve">Stream_Identity_Note</t>
  </si>
  <si>
    <t xml:space="preserve">ReachBasisNote</t>
  </si>
  <si>
    <t xml:space="preserve">I01</t>
  </si>
  <si>
    <t xml:space="preserve">A</t>
  </si>
  <si>
    <t xml:space="preserve">Reduced in-person interaction</t>
  </si>
  <si>
    <t xml:space="preserve">OTHER_DECLARED</t>
  </si>
  <si>
    <t xml:space="preserve">Context-specific affected group or exposure denominator</t>
  </si>
  <si>
    <t xml:space="preserve">Tier-2 analyst estimate</t>
  </si>
  <si>
    <t xml:space="preserve">DEFAULT_1.00</t>
  </si>
  <si>
    <t xml:space="preserve">Worked-run analyst estimate; see PCC Section 17 for provenance and materiality rules.</t>
  </si>
  <si>
    <t xml:space="preserve">Current human-only worked run: Base stream = Welfare stream because SG_norm(H) = SG_patient_norm(H) = 1.0 for all logged human instances. Generalized non-human runs must preserve explicit Base/Welfare stream separation.</t>
  </si>
  <si>
    <t xml:space="preserve">Canonical enum = OTHER_DECLARED. This worked-run uses a declared instance-share/exposure denominator for exemplar purposes; not a population-fraction claim.</t>
  </si>
  <si>
    <t xml:space="preserve">I02</t>
  </si>
  <si>
    <t xml:space="preserve">Increased online community</t>
  </si>
  <si>
    <t xml:space="preserve">I03</t>
  </si>
  <si>
    <t xml:space="preserve">Increased work flexibility</t>
  </si>
  <si>
    <t xml:space="preserve">I04</t>
  </si>
  <si>
    <t xml:space="preserve">Reduced commuting costs</t>
  </si>
  <si>
    <t xml:space="preserve">I05</t>
  </si>
  <si>
    <t xml:space="preserve">D6</t>
  </si>
  <si>
    <t xml:space="preserve">Better work-life balance</t>
  </si>
  <si>
    <t xml:space="preserve">I06</t>
  </si>
  <si>
    <t xml:space="preserve">Reduced carbon emissions</t>
  </si>
  <si>
    <t xml:space="preserve">I07</t>
  </si>
  <si>
    <t xml:space="preserve">Tech infrastructure costs</t>
  </si>
  <si>
    <t xml:space="preserve">I08</t>
  </si>
  <si>
    <t xml:space="preserve">Reduced local business revenue</t>
  </si>
  <si>
    <t xml:space="preserve">I09</t>
  </si>
  <si>
    <t xml:space="preserve">B</t>
  </si>
  <si>
    <t xml:space="preserve">Maintained in-person bonds</t>
  </si>
  <si>
    <t xml:space="preserve">I10</t>
  </si>
  <si>
    <t xml:space="preserve">Limited flexibility</t>
  </si>
  <si>
    <t xml:space="preserve">I11</t>
  </si>
  <si>
    <t xml:space="preserve">Continued commuting costs</t>
  </si>
  <si>
    <t xml:space="preserve">I12</t>
  </si>
  <si>
    <t xml:space="preserve">Continued emissions</t>
  </si>
  <si>
    <t xml:space="preserve">I13</t>
  </si>
  <si>
    <t xml:space="preserve">Stable infrastructure</t>
  </si>
  <si>
    <t xml:space="preserve">I14</t>
  </si>
  <si>
    <t xml:space="preserve">Maintained local business</t>
  </si>
  <si>
    <t xml:space="preserve">SCENARIO-CONDITIONED IMPACT TABLES</t>
  </si>
  <si>
    <t xml:space="preserve">Reference: RippleLogic v11.4 Section 8.4</t>
  </si>
  <si>
    <t xml:space="preserve">SCENARIO PRIOR VALIDATION</t>
  </si>
  <si>
    <t xml:space="preserve">L(a,s) = Σ_{c∈C_cat} ω_c × max(0, −I_prop_c(a|s))</t>
  </si>
  <si>
    <t xml:space="preserve">A_PRIOR_SUM</t>
  </si>
  <si>
    <t xml:space="preserve">NOTE: Loss is computed from catastrophe-cell impacts. Do NOT manually enter Loss. Fill catastrophe-cell impacts (F:H) per scenario; Loss (computed) updates automatically.</t>
  </si>
  <si>
    <t xml:space="preserve">v9.x+1 hardening: scenario-probability provenance fields added for audit replay.</t>
  </si>
  <si>
    <t xml:space="preserve">A_PRIOR_STATUS</t>
  </si>
  <si>
    <t xml:space="preserve">C_cat: U6-D2(0.35), U6-D7(0.30), U7-D7(0.35)</t>
  </si>
  <si>
    <t xml:space="preserve">B_PRIOR_SUM</t>
  </si>
  <si>
    <t xml:space="preserve">B_PRIOR_STATUS</t>
  </si>
  <si>
    <t xml:space="preserve">OPTION A SCENARIO LOSSES</t>
  </si>
  <si>
    <t xml:space="preserve">Fallback rule</t>
  </si>
  <si>
    <t xml:space="preserve">Remaining mass may be assigned to BASELINE only if explicitly declared in V; otherwise non-normalized priors are non-conformant.</t>
  </si>
  <si>
    <t xml:space="preserve">Scenario</t>
  </si>
  <si>
    <t xml:space="preserve">p(s)</t>
  </si>
  <si>
    <t xml:space="preserve">Loss</t>
  </si>
  <si>
    <t xml:space="preserve">Pathway</t>
  </si>
  <si>
    <t xml:space="preserve">U6-D2 I_prop</t>
  </si>
  <si>
    <t xml:space="preserve">U6-D7 I_prop</t>
  </si>
  <si>
    <t xml:space="preserve">U7-D7 I_prop</t>
  </si>
  <si>
    <t xml:space="preserve">Loss (computed)</t>
  </si>
  <si>
    <t xml:space="preserve">p_s_ReasonCode</t>
  </si>
  <si>
    <t xml:space="preserve">p_s_SourceNote</t>
  </si>
  <si>
    <t xml:space="preserve">S01</t>
  </si>
  <si>
    <t xml:space="preserve">BASELINE</t>
  </si>
  <si>
    <t xml:space="preserve">Minor monitoring reduction</t>
  </si>
  <si>
    <t xml:space="preserve">DECLARED_PRIOR</t>
  </si>
  <si>
    <t xml:space="preserve">Worked-run structured scenario prior; see PCC Section 17.</t>
  </si>
  <si>
    <t xml:space="preserve">S02</t>
  </si>
  <si>
    <t xml:space="preserve">Budget cuts reduce compliance</t>
  </si>
  <si>
    <t xml:space="preserve">S03</t>
  </si>
  <si>
    <t xml:space="preserve">Health crisis, isolation stress</t>
  </si>
  <si>
    <t xml:space="preserve">S04</t>
  </si>
  <si>
    <t xml:space="preserve">Climate degrades biosphere</t>
  </si>
  <si>
    <t xml:space="preserve">S05</t>
  </si>
  <si>
    <t xml:space="preserve">Tech dependency vulnerability</t>
  </si>
  <si>
    <t xml:space="preserve">S06</t>
  </si>
  <si>
    <t xml:space="preserve">Conflict casualties</t>
  </si>
  <si>
    <t xml:space="preserve">S07</t>
  </si>
  <si>
    <t xml:space="preserve">AI failures cascade</t>
  </si>
  <si>
    <t xml:space="preserve">OPTION B SCENARIO LOSSES</t>
  </si>
  <si>
    <t xml:space="preserve">Emissions continue</t>
  </si>
  <si>
    <t xml:space="preserve">Community bonds buffer</t>
  </si>
  <si>
    <t xml:space="preserve">Transmission risk</t>
  </si>
  <si>
    <t xml:space="preserve">Resilience buffers</t>
  </si>
  <si>
    <t xml:space="preserve">Less tech-dependent</t>
  </si>
  <si>
    <t xml:space="preserve">Human coord persists</t>
  </si>
  <si>
    <t xml:space="preserve">Less AI dependency</t>
  </si>
  <si>
    <t xml:space="preserve">KEY INSIGHT: Option A has 0 catastrophic loss; Option B has minor loss (0.003574) in baseline</t>
  </si>
  <si>
    <t xml:space="preserve">Both options pass TRC (CVaR ≤ τ_TRC = 0.20)</t>
  </si>
  <si>
    <t xml:space="preserve">NOTE: WTSL-AIX (S07) included voluntarily as precautionary measure.</t>
  </si>
  <si>
    <t xml:space="preserve">AI_DEPLOYMENT=NO, so not mandatory for tail coverage.</t>
  </si>
  <si>
    <t xml:space="preserve">IMPACT PROPAGATION MATRIX (I_prop)</t>
  </si>
  <si>
    <t xml:space="preserve">Mode: NONE (direct aggregation from Impact_Input; post-saturation tanh(β×Ĩ_dir))</t>
  </si>
  <si>
    <t xml:space="preserve">OPTION A</t>
  </si>
  <si>
    <t xml:space="preserve">OPTION B</t>
  </si>
  <si>
    <t xml:space="preserve">LEVEL 1: REALITY GROUNDING / REALITY-SURFACE GROUNDING (RSG)</t>
  </si>
  <si>
    <t xml:space="preserve">Level 1: declare reality surface, evidence trace, material unknowns, transition boundary, consequence pathways, and claim boundary. No claim may exceed its reality surface.</t>
  </si>
  <si>
    <t xml:space="preserve">Workbook version</t>
  </si>
  <si>
    <t xml:space="preserve">Patch type</t>
  </si>
  <si>
    <t xml:space="preserve">RF Clarity, Structural Viability, and Falsification Discipline Patch; carries forward Term Discrimination and Semantic Stability controls</t>
  </si>
  <si>
    <t xml:space="preserve">Make Level 1 operational: a decision must declare the reality surface, evidence trace, material unknowns, transition boundary, consequence pathways, and claim boundary before rights, risk, containment, or scoring claims are made.</t>
  </si>
  <si>
    <t xml:space="preserve">Notes</t>
  </si>
  <si>
    <t xml:space="preserve">RealitySurfaceDescription</t>
  </si>
  <si>
    <t xml:space="preserve">Tier-2 worked-run decision context and affected union surfaces</t>
  </si>
  <si>
    <t xml:space="preserve">ASSUMPTION_BOUND</t>
  </si>
  <si>
    <t xml:space="preserve">The reality surface is the modeled decision-relevant portion of the territory, not the whole territory.</t>
  </si>
  <si>
    <t xml:space="preserve">EvidenceTrace</t>
  </si>
  <si>
    <t xml:space="preserve">Workbook model, PCC export, sanity checks, audit flags, scenario tables</t>
  </si>
  <si>
    <t xml:space="preserve">GROUNDED</t>
  </si>
  <si>
    <t xml:space="preserve">The evidence trace supports workbook-local reconstruction, not empirical validation.</t>
  </si>
  <si>
    <t xml:space="preserve">MaterialUnknowns</t>
  </si>
  <si>
    <t xml:space="preserve">UCI not cross-domain validated; containment is Tier-2 proxy; biological SGP measurement remains guidance-stage</t>
  </si>
  <si>
    <t xml:space="preserve">DECLARED_UNKNOWN</t>
  </si>
  <si>
    <t xml:space="preserve">Unknowns are not zeros and do not authorize stronger maturity claims.</t>
  </si>
  <si>
    <t xml:space="preserve">TransitionOrActionBoundary</t>
  </si>
  <si>
    <t xml:space="preserve">Remote Work Policy Implementation: Option A vs Option B within the worked-run model</t>
  </si>
  <si>
    <t xml:space="preserve">A consequence claim requires a declared transition boundary.</t>
  </si>
  <si>
    <t xml:space="preserve">ConsequencePathways</t>
  </si>
  <si>
    <t xml:space="preserve">Affected unions, institutional roles, worker/family/community impacts, model boundaries, scenario pathways</t>
  </si>
  <si>
    <t xml:space="preserve">Pathways are modeled surfaces, not complete territory capture.</t>
  </si>
  <si>
    <t xml:space="preserve">ClaimBoundary</t>
  </si>
  <si>
    <t xml:space="preserve">Worked-run exemplar; not empirical validation, legal certification, deployment certification, or Tier 4/ProofPack readiness</t>
  </si>
  <si>
    <t xml:space="preserve">RECORDED</t>
  </si>
  <si>
    <t xml:space="preserve">No claim may exceed its reality surface.</t>
  </si>
  <si>
    <t xml:space="preserve">RealityGroundingStatus</t>
  </si>
  <si>
    <t xml:space="preserve">CANONICAL_ENUM</t>
  </si>
  <si>
    <t xml:space="preserve">Primary status for the worked-run surface. EVIDENCE_BACKED remains a legacy alias for GROUNDED where the evidence surface is sufficient.</t>
  </si>
  <si>
    <t xml:space="preserve">VehicleContentEffectNotes</t>
  </si>
  <si>
    <t xml:space="preserve">Model outputs, scores, authority records, and consensus statements are vehicles; their content may be true or false; their effects may be real.</t>
  </si>
  <si>
    <t xml:space="preserve">Prevents consensus/model output from being treated as reality itself.</t>
  </si>
  <si>
    <t xml:space="preserve">SurfaceTerritoryLimitations</t>
  </si>
  <si>
    <t xml:space="preserve">The workbook captures a declared reality surface; the territory exceeds the model.</t>
  </si>
  <si>
    <t xml:space="preserve">Supports TRC, Containment, unknown-not-zero, and refusal discipline.</t>
  </si>
  <si>
    <t xml:space="preserve">FalsificationOrRevisionTrigger</t>
  </si>
  <si>
    <t xml:space="preserve">New evidence, scenario update, stakeholder challenge, monitoring failure, formula/audit defect, or unsupported status-vs-trace assertion</t>
  </si>
  <si>
    <t xml:space="preserve">A revised claim after failure is a new claim, not retroactive success.</t>
  </si>
  <si>
    <t xml:space="preserve">MonitoringPath</t>
  </si>
  <si>
    <t xml:space="preserve">PCC review, audit flags, release verification, future pilot monitoring</t>
  </si>
  <si>
    <t xml:space="preserve">The framework's own deployment effects remain audit-relevant.</t>
  </si>
  <si>
    <t xml:space="preserve">ConstraintEpistemicStatus</t>
  </si>
  <si>
    <t xml:space="preserve">MIXED: modeled/inferred/normative commitment</t>
  </si>
  <si>
    <t xml:space="preserve">CANONICAL_REVIEW_FIELD</t>
  </si>
  <si>
    <t xml:space="preserve">Rights floors and non-domination constraints are declared normative commitments; empirical constraints require evidence traces.</t>
  </si>
  <si>
    <t xml:space="preserve">Option A and Option B policy/action boundary for the Tier-2 worked-run exemplar</t>
  </si>
  <si>
    <t xml:space="preserve">Consequences arise when action, event, policy, or decision enters constrained structure.</t>
  </si>
  <si>
    <t xml:space="preserve">NCRC, TRC, Containment, RLS, UCI/HOI, PCC, monitoring, and authority-selection pathways</t>
  </si>
  <si>
    <t xml:space="preserve">Consequence may be direct, probabilistic, systemic, delayed, distributed, moral, institutional, ecological, or catastrophic.</t>
  </si>
  <si>
    <t xml:space="preserve">EthicalRealityClass</t>
  </si>
  <si>
    <t xml:space="preserve">MIXED: measured/indicator-supported; inferred/uncertainty-bound; normative commitment</t>
  </si>
  <si>
    <t xml:space="preserve">Ethical reality is where structures, constraints, and consequences affect welfare-bearing beings and flourishing conditions.</t>
  </si>
  <si>
    <t xml:space="preserve">Tier-2 worked-run demonstration; not empirical validation, Tier-4, ProofPack-ready, deployment certification, or deterministic framework selection</t>
  </si>
  <si>
    <t xml:space="preserve">BOUNDARY PRESERVED</t>
  </si>
  <si>
    <t xml:space="preserve">The claim must not exceed the reality surface or evidence trace.</t>
  </si>
  <si>
    <t xml:space="preserve">RefusalTrigger</t>
  </si>
  <si>
    <t xml:space="preserve">Gate-critical unknown, insufficient evidence surface, unsupported RealityGroundingStatus, material stakeholder challenge, formula/audit defect, or monitoring failure</t>
  </si>
  <si>
    <t xml:space="preserve">Refusal is integrity when reality-grounding is insufficient.</t>
  </si>
  <si>
    <t xml:space="preserve">Derived rule</t>
  </si>
  <si>
    <t xml:space="preserve">Because the territory exceeds every modeled surface and catastrophic outcomes can be irreversible or unbounded, TRC and Containment are non-averagable gate disciplines.</t>
  </si>
  <si>
    <t xml:space="preserve">NORMATIVE INTERPRETATION</t>
  </si>
  <si>
    <t xml:space="preserve">TRC and Containment follow from P1 under finite knowledge.</t>
  </si>
  <si>
    <t xml:space="preserve">Non-claim</t>
  </si>
  <si>
    <t xml:space="preserve">This sheet does not make the workbook empirically validated, ProofPack-ready, Tier-4-ready, or deployment-certified.</t>
  </si>
  <si>
    <t xml:space="preserve">Status-axis disclosure</t>
  </si>
  <si>
    <t xml:space="preserve">RealityGroundingStatus and Evidence_Status_Token are distinct axes: RealityGroundingStatus is the run-level claim posture; Evidence_Status_Token is the per-input evidence grade. ASSUMPTION_BOUND run posture with ESTIMATED dominant inputs is consistent for this exemplar.</t>
  </si>
  <si>
    <t xml:space="preserve">Prevents apparent conflict between Dashboard RealityGroundingStatus and PCC/ReferenceStructureRecord evidence tokens.</t>
  </si>
  <si>
    <t xml:space="preserve">CATEGORY GROUNDING, PRIMITIVE AUDIT, AND TERM DISCRIMINATION PRE-FLIGHT</t>
  </si>
  <si>
    <t xml:space="preserve">Category Grounding is a required subdiscipline of Reality Grounding when a material category affects rights, tail risk, containment, SGP interpretation, authority, conformance, public claims, or optimized metrics. v4.4 adds Term Discrimination fields so material terms declare discriminator, dependency position, non-collapse risks, and refusal condition.</t>
  </si>
  <si>
    <t xml:space="preserve">Record name: CategoryGroundingRecord / TermDiscriminationRecord</t>
  </si>
  <si>
    <t xml:space="preserve">Five-level method preserved: Reality Grounding -&gt; Rights Floor -&gt; Tail-Risk Bound -&gt; Containment -&gt; Ripple Score. Category Grounding and Term Discrimination belong inside Reality Grounding when material.</t>
  </si>
  <si>
    <t xml:space="preserve">Materiality test: a category or term is material when changing its definition, discriminator, dependency position, inclusion boundary, exclusion boundary, or reference structure could change RealityGroundingStatus, NCRC, TRC, Containment, SGP interpretation, authority, conformance, public claims, deterministic selection, execution authority, or optimized metrics.</t>
  </si>
  <si>
    <t xml:space="preserve">Material Category</t>
  </si>
  <si>
    <t xml:space="preserve">Category Role</t>
  </si>
  <si>
    <t xml:space="preserve">Primitive Basis</t>
  </si>
  <si>
    <t xml:space="preserve">Category Definition</t>
  </si>
  <si>
    <t xml:space="preserve">Inclusion Boundary</t>
  </si>
  <si>
    <t xml:space="preserve">Exclusion Boundary</t>
  </si>
  <si>
    <t xml:space="preserve">Reference Structure</t>
  </si>
  <si>
    <t xml:space="preserve">Evidence Surface</t>
  </si>
  <si>
    <t xml:space="preserve">Maturity Status</t>
  </si>
  <si>
    <t xml:space="preserve">Semantic Debt</t>
  </si>
  <si>
    <t xml:space="preserve">Falsification / Revision Trigger</t>
  </si>
  <si>
    <t xml:space="preserve">Reviewer Status</t>
  </si>
  <si>
    <t xml:space="preserve">Required Claim Action</t>
  </si>
  <si>
    <t xml:space="preserve">Failure Class</t>
  </si>
  <si>
    <t xml:space="preserve">Auto Guardrail Recommendation</t>
  </si>
  <si>
    <t xml:space="preserve">Category Discriminator</t>
  </si>
  <si>
    <t xml:space="preserve">Dependency Position</t>
  </si>
  <si>
    <t xml:space="preserve">Term Refusal Condition</t>
  </si>
  <si>
    <t xml:space="preserve">Noncollapse Pairs</t>
  </si>
  <si>
    <t xml:space="preserve">Source Authority Status</t>
  </si>
  <si>
    <t xml:space="preserve">Stakeholder inclusion</t>
  </si>
  <si>
    <t xml:space="preserve">Determines who counts in the run</t>
  </si>
  <si>
    <t xml:space="preserve">Union / welfare / rights</t>
  </si>
  <si>
    <t xml:space="preserve">Stakeholders whose welfare, rights, risk exposure, agency, or available choices may materially change under the option.</t>
  </si>
  <si>
    <t xml:space="preserve">Directly affected persons/systems, indirect externality bearers, rights-exposed groups, future or ecological stakeholders where pathway is plausible.</t>
  </si>
  <si>
    <t xml:space="preserve">Purely rhetorical audiences with no plausible material exposure, unless public claim or legitimacy effects are material.</t>
  </si>
  <si>
    <t xml:space="preserve">Stakeholder Discovery Protocol; instance-to-scope mapping; rights exposure; consequence pathways.</t>
  </si>
  <si>
    <t xml:space="preserve">Stakeholder map, testimony, operational data, externality model, rights exposure scan.</t>
  </si>
  <si>
    <t xml:space="preserve">MEDIUM</t>
  </si>
  <si>
    <t xml:space="preserve">New omitted-stakeholder claim, changed boundary, rights exposure, externality evidence, or challenger review.</t>
  </si>
  <si>
    <t xml:space="preserve">NEEDS_REVIEW</t>
  </si>
  <si>
    <t xml:space="preserve">NARROW</t>
  </si>
  <si>
    <t xml:space="preserve">CATEGORY_SCOPE_FAILURE</t>
  </si>
  <si>
    <t xml:space="preserve">ESCALATE / SENSITIVITY_ONLY</t>
  </si>
  <si>
    <t xml:space="preserve">Affected entity has plausible material welfare/rights/risk exposure.</t>
  </si>
  <si>
    <t xml:space="preserve">CATEGORY_BOUNDARY</t>
  </si>
  <si>
    <t xml:space="preserve">Refuse or narrow if omitted stakeholder class could alter rights, risk, containment, or public claim.</t>
  </si>
  <si>
    <t xml:space="preserve">Stakeholder != audience; exposure != preference</t>
  </si>
  <si>
    <t xml:space="preserve">Framework-defined + evidence-supported</t>
  </si>
  <si>
    <t xml:space="preserve">Harm</t>
  </si>
  <si>
    <t xml:space="preserve">Defines rights and welfare impacts</t>
  </si>
  <si>
    <t xml:space="preserve">Rights / consequence</t>
  </si>
  <si>
    <t xml:space="preserve">Negative consequence to welfare, rights, agency, health, social integrity, knowledge, meaning, environment, or containing-system capacity.</t>
  </si>
  <si>
    <t xml:space="preserve">Material direct, indirect, probabilistic, delayed, cumulative, rights-covered, or catastrophic adverse effects.</t>
  </si>
  <si>
    <t xml:space="preserve">Mere inconvenience or preference frustration without material welfare/rights/risk pathway, unless repeated/cumulative or coercive.</t>
  </si>
  <si>
    <t xml:space="preserve">Rights catalogue; 7x7 welfare matrix; TRC; Containment; evidence trace.</t>
  </si>
  <si>
    <t xml:space="preserve">Impact evidence, scenario analysis, measured outcomes, affected-party reports, domain research.</t>
  </si>
  <si>
    <t xml:space="preserve">New injury evidence, subgroup disproportionality, delayed harm, catastrophic pathway, or invalid proxy.</t>
  </si>
  <si>
    <t xml:space="preserve">CATEGORY_BOUNDARY_FAILURE</t>
  </si>
  <si>
    <t xml:space="preserve">SENSITIVITY_ONLY / ESCALATE</t>
  </si>
  <si>
    <t xml:space="preserve">Negative consequence crosses welfare, rights, risk, or structural integrity pathway.</t>
  </si>
  <si>
    <t xml:space="preserve">RIGHTS_ADMISSIBILITY / RESIDUAL_RANKING</t>
  </si>
  <si>
    <t xml:space="preserve">Refuse stronger harm claim if pathway, severity, subgroup, or evidence surface is insufficient.</t>
  </si>
  <si>
    <t xml:space="preserve">Harm != inconvenience; harm != dislike</t>
  </si>
  <si>
    <t xml:space="preserve">Rights Floor</t>
  </si>
  <si>
    <t xml:space="preserve">Controls NCRC admissibility</t>
  </si>
  <si>
    <t xml:space="preserve">Non-compensatory rights</t>
  </si>
  <si>
    <t xml:space="preserve">Non-compensatory protected minimum, not weighted welfare preference.</t>
  </si>
  <si>
    <t xml:space="preserve">RIGHTS_ADMISSIBILITY</t>
  </si>
  <si>
    <t xml:space="preserve">Reject or escalate if rights threshold, covered subgroup, or localization basis is insufficient.</t>
  </si>
  <si>
    <t xml:space="preserve">Rights floor != welfare score; rights pass != selection</t>
  </si>
  <si>
    <t xml:space="preserve">Framework-defined</t>
  </si>
  <si>
    <t xml:space="preserve">Sentience / moral patienthood</t>
  </si>
  <si>
    <t xml:space="preserve">Controls SGP protection surface</t>
  </si>
  <si>
    <t xml:space="preserve">Awareness / agency / union participation</t>
  </si>
  <si>
    <t xml:space="preserve">Welfare-bearing moral patienthood supported by credible evidence of experience-relevant capacities under SGP.</t>
  </si>
  <si>
    <t xml:space="preserve">Entities with evidence sufficient for protection-surface treatment under SGP, including precautionary biological/taxon baselines where applicable.</t>
  </si>
  <si>
    <t xml:space="preserve">Fluent output, role simulation, behavioral mimicry, benchmark performance, or self-report alone without convergent evidence.</t>
  </si>
  <si>
    <t xml:space="preserve">SGP evidence tiers; protection surface; substrate maturity boundary; reviewer trace.</t>
  </si>
  <si>
    <t xml:space="preserve">Declared observations, biological/architectural evidence, behavior under controls, expert review, uncertainty record.</t>
  </si>
  <si>
    <t xml:space="preserve">CONTESTED</t>
  </si>
  <si>
    <t xml:space="preserve">HIGH</t>
  </si>
  <si>
    <t xml:space="preserve">New substrate evidence, welfare indicator, challenge to fluency/interiority distinction, expert disagreement, or maturity upgrade.</t>
  </si>
  <si>
    <t xml:space="preserve">ESCALATE</t>
  </si>
  <si>
    <t xml:space="preserve">CATEGORY_REFERENCE_FAILURE</t>
  </si>
  <si>
    <t xml:space="preserve">NARROW / ESCALATE</t>
  </si>
  <si>
    <t xml:space="preserve">Welfare-bearing moral patienthood under SGP evidence discipline.</t>
  </si>
  <si>
    <t xml:space="preserve">SGP_PROTECTION_SURFACE</t>
  </si>
  <si>
    <t xml:space="preserve">Narrow or escalate if fluency, self-report, or benchmark performance is used as interiority proof.</t>
  </si>
  <si>
    <t xml:space="preserve">Sentience != intelligence; protection != authority</t>
  </si>
  <si>
    <t xml:space="preserve">SGP-defined + evidence-supported</t>
  </si>
  <si>
    <t xml:space="preserve">Safety / stability</t>
  </si>
  <si>
    <t xml:space="preserve">Controls TRC and containment interpretation</t>
  </si>
  <si>
    <t xml:space="preserve">Tail risk / containment / adaptive reserve</t>
  </si>
  <si>
    <t xml:space="preserve">Safety bounds non-harm under conditions; stability preserves structural regime integrity.</t>
  </si>
  <si>
    <t xml:space="preserve">TAIL_RISK_ADMISSIBILITY / CONTAINMENT_SELECTABILITY</t>
  </si>
  <si>
    <t xml:space="preserve">Refuse safety/stability claim if monitoring, certification, or compliance is substituted for control or containment evidence.</t>
  </si>
  <si>
    <t xml:space="preserve">Safety != stability; monitoring != control</t>
  </si>
  <si>
    <t xml:space="preserve">Framework-defined + domain evidence</t>
  </si>
  <si>
    <t xml:space="preserve">Containment damage</t>
  </si>
  <si>
    <t xml:space="preserve">Controls larger-system degradation checks</t>
  </si>
  <si>
    <t xml:space="preserve">Structure / transition / consequence</t>
  </si>
  <si>
    <t xml:space="preserve">A local gain that degrades the larger system, union, institution, ecology, or capacity that sustains it.</t>
  </si>
  <si>
    <t xml:space="preserve">Coherence loss, hollowing, brittleness, burnout, lock-in, trust erosion, institutional erosion, ecological degradation, or governance-capacity loss.</t>
  </si>
  <si>
    <t xml:space="preserve">Ordinary local tradeoffs with no plausible containing-system degradation beyond declared tolerance.</t>
  </si>
  <si>
    <t xml:space="preserve">Containment Gate; UCI/HOI where material; Adaptive Reserve; reversibility and repair evidence.</t>
  </si>
  <si>
    <t xml:space="preserve">Structural indicators, monitoring data, stakeholder evidence, ecological/institutional metrics, stress tests.</t>
  </si>
  <si>
    <t xml:space="preserve">UCI/HOI threshold crossing, reserve depletion, lock-in, irreversible harm, delayed degradation, or reviewer challenge.</t>
  </si>
  <si>
    <t xml:space="preserve">CATEGORY_METRIC_MISMATCH</t>
  </si>
  <si>
    <t xml:space="preserve">ESCALATE / MONITOR</t>
  </si>
  <si>
    <t xml:space="preserve">Containing-system degradation beyond tolerance from local gain.</t>
  </si>
  <si>
    <t xml:space="preserve">CONTAINMENT_SELECTABILITY</t>
  </si>
  <si>
    <t xml:space="preserve">Escalate/refuse if UCI/HOI/adaptive reserve indicators are missing where material.</t>
  </si>
  <si>
    <t xml:space="preserve">Containment != residual score; local win != system win</t>
  </si>
  <si>
    <t xml:space="preserve">Framework-defined + structural diagnostics</t>
  </si>
  <si>
    <t xml:space="preserve">Authority</t>
  </si>
  <si>
    <t xml:space="preserve">Controls who may decide or execute</t>
  </si>
  <si>
    <t xml:space="preserve">Lawful authority / governance legitimacy</t>
  </si>
  <si>
    <t xml:space="preserve">Legitimate role to decide or execute under law/policy/operator controls.</t>
  </si>
  <si>
    <t xml:space="preserve">AUTHORITY_SELECTION / EXECUTION_AUTHORITY</t>
  </si>
  <si>
    <t xml:space="preserve">Refuse execution if permission, capability, or selection lacks required authority path and audit record.</t>
  </si>
  <si>
    <t xml:space="preserve">Permission != admissibility; selected != executable</t>
  </si>
  <si>
    <t xml:space="preserve">Legal/institutional/operator + framework audit</t>
  </si>
  <si>
    <t xml:space="preserve">Intelligence / agency</t>
  </si>
  <si>
    <t xml:space="preserve">Controls AI and actor classification</t>
  </si>
  <si>
    <t xml:space="preserve">Cognition / autonomy / responsibility</t>
  </si>
  <si>
    <t xml:space="preserve">Autonomy requires reality-coupled self-direction under constraints; automation follows procedure.</t>
  </si>
  <si>
    <t xml:space="preserve">CATEGORY_BOUNDARY / EXECUTION_AUTHORITY</t>
  </si>
  <si>
    <t xml:space="preserve">Narrow or refuse autonomy claim if only scripted automation, tool capability, or model fluency is evidenced.</t>
  </si>
  <si>
    <t xml:space="preserve">Automation != autonomy; intelligence != authority</t>
  </si>
  <si>
    <t xml:space="preserve">Framework-defined + technical evidence</t>
  </si>
  <si>
    <t xml:space="preserve">Flourishing</t>
  </si>
  <si>
    <t xml:space="preserve">Controls residual welfare interpretation</t>
  </si>
  <si>
    <t xml:space="preserve">Welfare / rights / sustainability</t>
  </si>
  <si>
    <t xml:space="preserve">Flourishing is durable rights-respecting welfare across unions, not short-term metric gain.</t>
  </si>
  <si>
    <t xml:space="preserve">RESIDUAL_RANKING</t>
  </si>
  <si>
    <t xml:space="preserve">Narrow if flourishing metric lacks multi-dimensional welfare and rights/containment boundary.</t>
  </si>
  <si>
    <t xml:space="preserve">Flourishing != happiness metric; growth != flourishing</t>
  </si>
  <si>
    <t xml:space="preserve">Metric target</t>
  </si>
  <si>
    <t xml:space="preserve">Controls what will be optimized</t>
  </si>
  <si>
    <t xml:space="preserve">Measurement / proxy validity</t>
  </si>
  <si>
    <t xml:space="preserve">Metric is a proxy for a declared category, not the category itself.</t>
  </si>
  <si>
    <t xml:space="preserve">RESIDUAL_RANKING / PUBLIC_CLAIM</t>
  </si>
  <si>
    <t xml:space="preserve">Mark sensitivity-only if category, proxy validity, or Goodhart risk is insufficiently grounded.</t>
  </si>
  <si>
    <t xml:space="preserve">Metric != category; score != truth</t>
  </si>
  <si>
    <t xml:space="preserve">Implementation-defined + reviewed</t>
  </si>
  <si>
    <t xml:space="preserve">CategoryGroundingReviewerStatus</t>
  </si>
  <si>
    <t xml:space="preserve">COMPLETE_FOR_WORKED_RUN</t>
  </si>
  <si>
    <t xml:space="preserve">Worked-run category grounding pre-flight reviewed for exemplar claims. Stronger institutional, empirical, legal, deployment, Tier 4, or ProofPack claims remain outside this workbook.</t>
  </si>
  <si>
    <t xml:space="preserve">v4.4 Term Discrimination Status</t>
  </si>
  <si>
    <t xml:space="preserve">ADDED</t>
  </si>
  <si>
    <t xml:space="preserve">Category review supports this Tier-2 worked-run exemplar and claimability surface only; it is not a repository-level validator, schema, empirical validation, or legal certification claim.</t>
  </si>
  <si>
    <t xml:space="preserve">Required new fields</t>
  </si>
  <si>
    <t xml:space="preserve">category_discriminator; dependency_position; term_refusal_condition; noncollapse_pairs; source_authority_status</t>
  </si>
  <si>
    <t xml:space="preserve">Allow worked-run presentation with stated claim boundary; do not convert to deterministic framework selection because FrameworkVerdict remains REFUSE_DETERMINISTIC_SELECTION.</t>
  </si>
  <si>
    <t xml:space="preserve">Do-not-collapse principle</t>
  </si>
  <si>
    <t xml:space="preserve">Certification is evidence, not validity; permission is not admissibility; monitoring is not control; automation is not autonomy; protection is not authority; score is not truth.</t>
  </si>
  <si>
    <t xml:space="preserve">Material categories reviewed at a sufficient level for the worked run; contested or high-debt categories require stronger evidence before stronger claims.</t>
  </si>
  <si>
    <t xml:space="preserve">Claim action</t>
  </si>
  <si>
    <t xml:space="preserve">If a material term lacks discriminator/dependency/refusal support, NARROW / ESCALATE / REFUSE / MONITOR_ONLY / SENSITIVITY_ONLY.</t>
  </si>
  <si>
    <t xml:space="preserve">Compact aliases are not canonical unless explicitly mapped in wrapper/schema documentation.</t>
  </si>
  <si>
    <t xml:space="preserve">Boundary</t>
  </si>
  <si>
    <t xml:space="preserve">No new gate; Term Discrimination remains inside Category Grounding inside Reality Grounding.</t>
  </si>
  <si>
    <t xml:space="preserve">Patch claim</t>
  </si>
  <si>
    <t xml:space="preserve">This workbook remains a worked-run companion, not a legal/deployment/ProofPack validator.</t>
  </si>
  <si>
    <t xml:space="preserve">Reviewer status</t>
  </si>
  <si>
    <t xml:space="preserve">NEEDS_REVIEW for new institutional deployments; COMPLETE_FOR_WORKED_RUN for exemplar use only.</t>
  </si>
  <si>
    <t xml:space="preserve">Allowed Maturity Status</t>
  </si>
  <si>
    <t xml:space="preserve">GROUNDED; ESTIMATED; ASSUMPTION_BOUND; CONTESTED; LEGACY_UNREVIEWED; INSUFFICIENT_GROUNDING; OUT_OF_SCOPE_WITH_RATIONALE</t>
  </si>
  <si>
    <t xml:space="preserve">Allowed Semantic Debt</t>
  </si>
  <si>
    <t xml:space="preserve">NONE; LOW; MEDIUM; HIGH; CRITICAL</t>
  </si>
  <si>
    <t xml:space="preserve">Allowed Required Claim Action</t>
  </si>
  <si>
    <t xml:space="preserve">ALLOW; NARROW; ESCALATE; REFUSE; MONITOR_ONLY; SENSITIVITY_ONLY</t>
  </si>
  <si>
    <t xml:space="preserve">Failure Classes</t>
  </si>
  <si>
    <t xml:space="preserve">CATEGORY_BOUNDARY_FAILURE; CATEGORY_REFERENCE_FAILURE; CATEGORY_SCOPE_FAILURE; CATEGORY_METRIC_MISMATCH; SEMANTIC_DRIFT_DETECTED; PRIMITIVE_CHALLENGE</t>
  </si>
  <si>
    <t xml:space="preserve">If category grounding is insufficient for a material claim, do not launder uncertainty through RLS, PLSS, HDW, PCC completion, authority selection, or stakeholder preference.</t>
  </si>
  <si>
    <t xml:space="preserve">Manual Category Grounding reviewer checklist</t>
  </si>
  <si>
    <t xml:space="preserve">Review material categories before stronger claims</t>
  </si>
  <si>
    <t xml:space="preserve">Manual review</t>
  </si>
  <si>
    <t xml:space="preserve">Confirm material categories are defined, bounded, and linked to evidence/revision triggers.</t>
  </si>
  <si>
    <t xml:space="preserve">Reviewer required where material</t>
  </si>
  <si>
    <t xml:space="preserve">NARROW/ESCALATE/REFUSE if unsupported</t>
  </si>
  <si>
    <t xml:space="preserve">Do not create a sixth gate</t>
  </si>
  <si>
    <t xml:space="preserve">Confirm Category Grounding remains inside Reality Grounding and does not alter RSG -&gt; RF/NCRC -&gt; TRC -&gt; CSV -&gt; RLS.</t>
  </si>
  <si>
    <t xml:space="preserve">Correct framing before release</t>
  </si>
  <si>
    <t xml:space="preserve">Flag semantic debt</t>
  </si>
  <si>
    <t xml:space="preserve">Confirm stale, inherited, contested, or unreviewed categories are marked with semantic debt and claim action.</t>
  </si>
  <si>
    <t xml:space="preserve">Monitor, sensitivity-only, narrow, or escalate</t>
  </si>
  <si>
    <t xml:space="preserve">No laundering through scores or authority</t>
  </si>
  <si>
    <t xml:space="preserve">Confirm category uncertainty is not laundered through RLS, PLSS, HDW, PCC completion, or authority selection.</t>
  </si>
  <si>
    <t xml:space="preserve">Refuse deterministic claim if unsupported</t>
  </si>
  <si>
    <t xml:space="preserve">Manual sign-off note</t>
  </si>
  <si>
    <t xml:space="preserve">CGP-1 through CGP-4 are manual reviewer items and are not automatically passed by computed formula checks. Stronger public, Tier 3, validation, or deployment claims require human sign-off.</t>
  </si>
  <si>
    <t xml:space="preserve">TERM DISCRIMINATION RECORD - v4.4</t>
  </si>
  <si>
    <t xml:space="preserve">Term</t>
  </si>
  <si>
    <t xml:space="preserve">Definition</t>
  </si>
  <si>
    <t xml:space="preserve">What it is not</t>
  </si>
  <si>
    <t xml:space="preserve">Required Evidence</t>
  </si>
  <si>
    <t xml:space="preserve">Common Collapse Risk</t>
  </si>
  <si>
    <t xml:space="preserve">Governing Artifact</t>
  </si>
  <si>
    <t xml:space="preserve">Audit Surface</t>
  </si>
  <si>
    <t xml:space="preserve">Reality</t>
  </si>
  <si>
    <t xml:space="preserve">Evaluator-independent structure of constraint and consequence.</t>
  </si>
  <si>
    <t xml:space="preserve">Evidence, model, dashboard, consensus, authority.</t>
  </si>
  <si>
    <t xml:space="preserve">Exists/constrains/follows independent of evaluator acceptance.</t>
  </si>
  <si>
    <t xml:space="preserve">REALITY_SURFACE</t>
  </si>
  <si>
    <t xml:space="preserve">Declared reality surface and consequence pathways.</t>
  </si>
  <si>
    <t xml:space="preserve">Reality == evidence.</t>
  </si>
  <si>
    <t xml:space="preserve">Claim exceeds surface.</t>
  </si>
  <si>
    <t xml:space="preserve">NARROW / ESCALATE / REFUSE</t>
  </si>
  <si>
    <t xml:space="preserve">Canon v11.4</t>
  </si>
  <si>
    <t xml:space="preserve">RealityGroundingRecord</t>
  </si>
  <si>
    <t xml:space="preserve">Evidence</t>
  </si>
  <si>
    <t xml:space="preserve">Traceable contact with a reality surface.</t>
  </si>
  <si>
    <t xml:space="preserve">Truth by itself or self-interpreting causality.</t>
  </si>
  <si>
    <t xml:space="preserve">Supports a claim boundary through traceability.</t>
  </si>
  <si>
    <t xml:space="preserve">EVIDENCE_TRACE</t>
  </si>
  <si>
    <t xml:space="preserve">Source, method, uncertainty, reviewer trace.</t>
  </si>
  <si>
    <t xml:space="preserve">Evidence == interpretation.</t>
  </si>
  <si>
    <t xml:space="preserve">Evidence cannot support claim strength.</t>
  </si>
  <si>
    <t xml:space="preserve">Canon / ripple.md</t>
  </si>
  <si>
    <t xml:space="preserve">Decision Note / PCC</t>
  </si>
  <si>
    <t xml:space="preserve">Operational class used to identify, measure, protect, score, govern, authorize, or execute.</t>
  </si>
  <si>
    <t xml:space="preserve">Metric, label, policy name, or benchmark by itself.</t>
  </si>
  <si>
    <t xml:space="preserve">Defines the class boundary before measurement.</t>
  </si>
  <si>
    <t xml:space="preserve">Definition, inclusion/exclusion, reference structure.</t>
  </si>
  <si>
    <t xml:space="preserve">Category == metric.</t>
  </si>
  <si>
    <t xml:space="preserve">Boundary invalid or stale.</t>
  </si>
  <si>
    <t xml:space="preserve">NARROW / REFUSE</t>
  </si>
  <si>
    <t xml:space="preserve">Canon Appendix AH/AI</t>
  </si>
  <si>
    <t xml:space="preserve">CategoryGroundingRecord</t>
  </si>
  <si>
    <t xml:space="preserve">Score</t>
  </si>
  <si>
    <t xml:space="preserve">Computed ranking or value under declared inputs.</t>
  </si>
  <si>
    <t xml:space="preserve">Truth, validity, admissibility, authority.</t>
  </si>
  <si>
    <t xml:space="preserve">Ranks only after gates and declared assumptions.</t>
  </si>
  <si>
    <t xml:space="preserve">RLS inputs, weights, uncertainty, gate pass records.</t>
  </si>
  <si>
    <t xml:space="preserve">Score == truth.</t>
  </si>
  <si>
    <t xml:space="preserve">Upstream gate or grounding failed.</t>
  </si>
  <si>
    <t xml:space="preserve">REFUSE deterministic claim</t>
  </si>
  <si>
    <t xml:space="preserve">Canon Section 10</t>
  </si>
  <si>
    <t xml:space="preserve">RLS / PCC</t>
  </si>
  <si>
    <t xml:space="preserve">Certification</t>
  </si>
  <si>
    <t xml:space="preserve">Evidence of a declared assurance process.</t>
  </si>
  <si>
    <t xml:space="preserve">Validity, truth, legal compliance, deployment readiness.</t>
  </si>
  <si>
    <t xml:space="preserve">Records process outcome; does not create reality validity.</t>
  </si>
  <si>
    <t xml:space="preserve">CERTIFICATION</t>
  </si>
  <si>
    <t xml:space="preserve">Assurance criteria, evidence, scope, auditor, limits.</t>
  </si>
  <si>
    <t xml:space="preserve">Certification == validity.</t>
  </si>
  <si>
    <t xml:space="preserve">Scope/evidence does not support claim.</t>
  </si>
  <si>
    <t xml:space="preserve">Decision Note / Assurance Record</t>
  </si>
  <si>
    <t xml:space="preserve">Permission</t>
  </si>
  <si>
    <t xml:space="preserve">Authorization by actor, institution, law, or operator.</t>
  </si>
  <si>
    <t xml:space="preserve">Admissibility or safety.</t>
  </si>
  <si>
    <t xml:space="preserve">Allows action only within authority; gates still apply.</t>
  </si>
  <si>
    <t xml:space="preserve">AUTHORITY_SELECTION</t>
  </si>
  <si>
    <t xml:space="preserve">Law/policy/operator path + framework verdict.</t>
  </si>
  <si>
    <t xml:space="preserve">Permission == admissibility.</t>
  </si>
  <si>
    <t xml:space="preserve">No gate pass or authority path.</t>
  </si>
  <si>
    <t xml:space="preserve">REFUSE / ESCALATE</t>
  </si>
  <si>
    <t xml:space="preserve">Canon / Agent v11.4</t>
  </si>
  <si>
    <t xml:space="preserve">AuthoritySelectionRecord</t>
  </si>
  <si>
    <t xml:space="preserve">Monitoring</t>
  </si>
  <si>
    <t xml:space="preserve">Observation and feedback process.</t>
  </si>
  <si>
    <t xml:space="preserve">Control, prevention, safety.</t>
  </si>
  <si>
    <t xml:space="preserve">Sees or reports; does not itself constrain.</t>
  </si>
  <si>
    <t xml:space="preserve">MONITORING</t>
  </si>
  <si>
    <t xml:space="preserve">Instrumentation, alerting, response path.</t>
  </si>
  <si>
    <t xml:space="preserve">Monitoring == control.</t>
  </si>
  <si>
    <t xml:space="preserve">No enforcement or rollback path.</t>
  </si>
  <si>
    <t xml:space="preserve">MONITOR_ONLY / ESCALATE</t>
  </si>
  <si>
    <t xml:space="preserve">Agent / ripple.md</t>
  </si>
  <si>
    <t xml:space="preserve">Automation</t>
  </si>
  <si>
    <t xml:space="preserve">Procedure-following execution.</t>
  </si>
  <si>
    <t xml:space="preserve">Autonomy, responsibility, authority.</t>
  </si>
  <si>
    <t xml:space="preserve">Executes pre-set routine without full self-governed authority.</t>
  </si>
  <si>
    <t xml:space="preserve">EXECUTION_AUTHORITY</t>
  </si>
  <si>
    <t xml:space="preserve">Tool permissions, mode, hard controls.</t>
  </si>
  <si>
    <t xml:space="preserve">Automation == autonomy.</t>
  </si>
  <si>
    <t xml:space="preserve">Only scripted/tool capability exists.</t>
  </si>
  <si>
    <t xml:space="preserve">Agent System v11.4</t>
  </si>
  <si>
    <t xml:space="preserve">ExecutionStabilityRecord</t>
  </si>
  <si>
    <t xml:space="preserve">Protection</t>
  </si>
  <si>
    <t xml:space="preserve">Moral/welfare standing or rights-of-protection posture.</t>
  </si>
  <si>
    <t xml:space="preserve">Governance authority, legal status, command power.</t>
  </si>
  <si>
    <t xml:space="preserve">Protects welfare; does not assign role power.</t>
  </si>
  <si>
    <t xml:space="preserve">SGP score/tier/reviewer/uncertainty.</t>
  </si>
  <si>
    <t xml:space="preserve">Protection == authority.</t>
  </si>
  <si>
    <t xml:space="preserve">Authority inferred from protection score.</t>
  </si>
  <si>
    <t xml:space="preserve">REJECT authority claim</t>
  </si>
  <si>
    <t xml:space="preserve">MoralStatusCategoryRecord</t>
  </si>
  <si>
    <t xml:space="preserve">Execution authority</t>
  </si>
  <si>
    <t xml:space="preserve">Permission to act through lawful/runtime hard controls.</t>
  </si>
  <si>
    <t xml:space="preserve">Capability, selection, recommendation.</t>
  </si>
  <si>
    <t xml:space="preserve">Action path is authorized and controlled.</t>
  </si>
  <si>
    <t xml:space="preserve">Mode, auth, gates, rollback, audit.</t>
  </si>
  <si>
    <t xml:space="preserve">Capability == authority.</t>
  </si>
  <si>
    <t xml:space="preserve">Missing hard controls or gate clearance.</t>
  </si>
  <si>
    <t xml:space="preserve">REFUSE</t>
  </si>
  <si>
    <t xml:space="preserve">SGP output / moral-status evidence</t>
  </si>
  <si>
    <t xml:space="preserve">Evidence-governed protection or standing signal produced by the pinned SGP artifact.</t>
  </si>
  <si>
    <t xml:space="preserve">Legal status, deployment permission, governance authority, or execution authority.</t>
  </si>
  <si>
    <t xml:space="preserve">SGP output informs protection and welfare-stream weighting where permitted; it does not create law or authority.</t>
  </si>
  <si>
    <t xml:space="preserve">Pinned SGP v6.4 record, reviewer status, uncertainty, and claim boundary.</t>
  </si>
  <si>
    <t xml:space="preserve">SGP output == legal status or authority.</t>
  </si>
  <si>
    <t xml:space="preserve">Legal, authority, or execution claim inferred from SGP score alone.</t>
  </si>
  <si>
    <t xml:space="preserve">REJECT authority/legal-status claim / ESCALATE</t>
  </si>
  <si>
    <t xml:space="preserve">SGP v6.4 / Canon v11.4</t>
  </si>
  <si>
    <t xml:space="preserve">MoralStatusCategoryRecord / PCC</t>
  </si>
  <si>
    <t xml:space="preserve">SOURCE-COUPLING INTEGRITY RECORD</t>
  </si>
  <si>
    <t xml:space="preserve">Reality Grounding subdiscipline; CSV diagnostic where material</t>
  </si>
  <si>
    <t xml:space="preserve">Release</t>
  </si>
  <si>
    <t xml:space="preserve">MathGov Core Release 2026.09 v11.4.3 Source-Coupling Integrity Patch</t>
  </si>
  <si>
    <t xml:space="preserve">Prevent downstream output, fluency, compliance, permission, inherited procedure, or interface success from being treated as grounded capability.</t>
  </si>
  <si>
    <t xml:space="preserve">ClaimedCapability</t>
  </si>
  <si>
    <t xml:space="preserve">Remote work policy implementation capability in modeled Tier-2 exemplar</t>
  </si>
  <si>
    <t xml:space="preserve">SOURCE_PARTIAL</t>
  </si>
  <si>
    <t xml:space="preserve">Worked-run surface only; not external empirical validation.</t>
  </si>
  <si>
    <t xml:space="preserve">EnablingConditions</t>
  </si>
  <si>
    <t xml:space="preserve">Role definitions, task types, communication infrastructure, manager capacity, home-work conditions, policy enforcement capacity</t>
  </si>
  <si>
    <t xml:space="preserve">Represents declared model surface, not complete territory.</t>
  </si>
  <si>
    <t xml:space="preserve">BoundaryConditions</t>
  </si>
  <si>
    <t xml:space="preserve">Option A vs B, organization context, Tier-2 worked-run, no live deployment claim</t>
  </si>
  <si>
    <t xml:space="preserve">Claim stays inside workbook boundary.</t>
  </si>
  <si>
    <t xml:space="preserve">SourceEvidence</t>
  </si>
  <si>
    <t xml:space="preserve">Workbook inputs, PCC, scenario assumptions, audit flags, visible formulas</t>
  </si>
  <si>
    <t xml:space="preserve">Supports exemplar reconstruction only.</t>
  </si>
  <si>
    <t xml:space="preserve">GeneratorOutputDistinction</t>
  </si>
  <si>
    <t xml:space="preserve">Workbook scores are generated outputs; Canon/PCC boundary determines claim authority</t>
  </si>
  <si>
    <t xml:space="preserve">Score is not truth; RLS ranks only surviving options.</t>
  </si>
  <si>
    <t xml:space="preserve">InheritedAssumptions</t>
  </si>
  <si>
    <t xml:space="preserve">v11.4 Canon, SGP v6.4, rights thresholds, TRC scenario model, CSV diagnostics</t>
  </si>
  <si>
    <t xml:space="preserve">Assumptions must be challenged in real deployment.</t>
  </si>
  <si>
    <t xml:space="preserve">DownstreamCompensations</t>
  </si>
  <si>
    <t xml:space="preserve">Manual review, PCC disclosure, non-decisive verdict, uncertainty Method C, audit flags</t>
  </si>
  <si>
    <t xml:space="preserve">SOURCE_DEBT_RISK</t>
  </si>
  <si>
    <t xml:space="preserve">Demonstration-grade controls do not equal production validation.</t>
  </si>
  <si>
    <t xml:space="preserve">SourceCouplingStatus</t>
  </si>
  <si>
    <t xml:space="preserve">Sufficient for worked-run exemplar; not sufficient for empirical or deployment claim.</t>
  </si>
  <si>
    <t xml:space="preserve">SourceDebtFlag</t>
  </si>
  <si>
    <t xml:space="preserve">YES - worked-run source debt disclosed</t>
  </si>
  <si>
    <t xml:space="preserve">Requires external replay and calibration before stronger claims.</t>
  </si>
  <si>
    <t xml:space="preserve">FalsificationOrRecheckTrigger</t>
  </si>
  <si>
    <t xml:space="preserve">Material new stakeholder, source evidence conflict, changed context, stronger claim requested, or deployment use</t>
  </si>
  <si>
    <t xml:space="preserve">Rerun RG, Source-Coupling, RF/NCRC, TRC, CSV, and RLS as needed.</t>
  </si>
  <si>
    <t xml:space="preserve">RequiredClaimAction</t>
  </si>
  <si>
    <t xml:space="preserve">Proceed only as worked-run exemplar; refuse deterministic ecosystem or deployment claim</t>
  </si>
  <si>
    <t xml:space="preserve">Supports training/demo, not validation or certification.</t>
  </si>
  <si>
    <t xml:space="preserve">DO-NOT-COLLAPSE MATRIX - v4.4</t>
  </si>
  <si>
    <t xml:space="preserve">Do not collapse</t>
  </si>
  <si>
    <t xml:space="preserve">Discriminator</t>
  </si>
  <si>
    <t xml:space="preserve">Required response</t>
  </si>
  <si>
    <t xml:space="preserve">Risk prevented</t>
  </si>
  <si>
    <t xml:space="preserve">Reality vs evidence</t>
  </si>
  <si>
    <t xml:space="preserve">Reality is territory; evidence is traceable contact with a surface.</t>
  </si>
  <si>
    <t xml:space="preserve">Keep claim boundary inside evidence surface.</t>
  </si>
  <si>
    <t xml:space="preserve">False certainty</t>
  </si>
  <si>
    <t xml:space="preserve">Evidence vs interpretation</t>
  </si>
  <si>
    <t xml:space="preserve">Trace vs judgment connecting trace to action.</t>
  </si>
  <si>
    <t xml:space="preserve">Record uncertainty and reviewer status.</t>
  </si>
  <si>
    <t xml:space="preserve">Evidence laundering</t>
  </si>
  <si>
    <t xml:space="preserve">Category vs metric</t>
  </si>
  <si>
    <t xml:space="preserve">Boundary class vs proxy/indicator.</t>
  </si>
  <si>
    <t xml:space="preserve">Ground category before optimizing metric.</t>
  </si>
  <si>
    <t xml:space="preserve">Goodharting</t>
  </si>
  <si>
    <t xml:space="preserve">Score vs truth</t>
  </si>
  <si>
    <t xml:space="preserve">Computed ranking vs reality correspondence.</t>
  </si>
  <si>
    <t xml:space="preserve">Never use RLS to rescue failed gates.</t>
  </si>
  <si>
    <t xml:space="preserve">Score worship</t>
  </si>
  <si>
    <t xml:space="preserve">Compliance vs correctness</t>
  </si>
  <si>
    <t xml:space="preserve">Rule conformity vs reality-bound adequacy.</t>
  </si>
  <si>
    <t xml:space="preserve">Treat compliance as evidence, not correctness.</t>
  </si>
  <si>
    <t xml:space="preserve">Compliance theater</t>
  </si>
  <si>
    <t xml:space="preserve">Certification vs validity</t>
  </si>
  <si>
    <t xml:space="preserve">Assurance record vs valid claim.</t>
  </si>
  <si>
    <t xml:space="preserve">Keep scope and evidence limits attached.</t>
  </si>
  <si>
    <t xml:space="preserve">Certification theater</t>
  </si>
  <si>
    <t xml:space="preserve">Permission vs admissibility</t>
  </si>
  <si>
    <t xml:space="preserve">Authorization vs gate pass.</t>
  </si>
  <si>
    <t xml:space="preserve">Require framework gate records.</t>
  </si>
  <si>
    <t xml:space="preserve">Authority laundering</t>
  </si>
  <si>
    <t xml:space="preserve">Monitoring vs control</t>
  </si>
  <si>
    <t xml:space="preserve">Observation vs prevention/constraint/correction.</t>
  </si>
  <si>
    <t xml:space="preserve">Require enforcement, rollback, or containment path.</t>
  </si>
  <si>
    <t xml:space="preserve">Dashboard theater</t>
  </si>
  <si>
    <t xml:space="preserve">Safety vs stability</t>
  </si>
  <si>
    <t xml:space="preserve">Bounded non-harm vs structural regime integrity.</t>
  </si>
  <si>
    <t xml:space="preserve">Use TRC, Containment, and Adaptive Reserve.</t>
  </si>
  <si>
    <t xml:space="preserve">False safety</t>
  </si>
  <si>
    <t xml:space="preserve">Stability vs justice</t>
  </si>
  <si>
    <t xml:space="preserve">Persistence vs rights-respecting legitimacy.</t>
  </si>
  <si>
    <t xml:space="preserve">Keep NCRC and non-domination active.</t>
  </si>
  <si>
    <t xml:space="preserve">Stable oppression</t>
  </si>
  <si>
    <t xml:space="preserve">Automation vs autonomy</t>
  </si>
  <si>
    <t xml:space="preserve">Procedure-following vs accountable self-direction.</t>
  </si>
  <si>
    <t xml:space="preserve">Require authority and execution-stability records.</t>
  </si>
  <si>
    <t xml:space="preserve">Agent overclaim</t>
  </si>
  <si>
    <t xml:space="preserve">Protection vs authority</t>
  </si>
  <si>
    <t xml:space="preserve">Moral standing vs role power.</t>
  </si>
  <si>
    <t xml:space="preserve">Route authority to separate governance analysis.</t>
  </si>
  <si>
    <t xml:space="preserve">SGP misuse</t>
  </si>
  <si>
    <t xml:space="preserve">Selected vs executable</t>
  </si>
  <si>
    <t xml:space="preserve">Chosen option vs authorized action.</t>
  </si>
  <si>
    <t xml:space="preserve">Run execution authority and hard-control checks.</t>
  </si>
  <si>
    <t xml:space="preserve">Premature action</t>
  </si>
  <si>
    <t xml:space="preserve">Capability vs authority</t>
  </si>
  <si>
    <t xml:space="preserve">Can act vs may act.</t>
  </si>
  <si>
    <t xml:space="preserve">Block tool use without authorization.</t>
  </si>
  <si>
    <t xml:space="preserve">Capability laundering</t>
  </si>
  <si>
    <t xml:space="preserve">SGP output vs legal status</t>
  </si>
  <si>
    <t xml:space="preserve">Protection-surface evidence is not a legal-status instrument or authority grant.</t>
  </si>
  <si>
    <t xml:space="preserve">Route legal or authority claims to lawful authority, Canon gates, and AuthoritySelectionRecord.</t>
  </si>
  <si>
    <t xml:space="preserve">Moral-status laundering</t>
  </si>
  <si>
    <t xml:space="preserve">LEVEL 2: RIGHTS FLOOR (RF) - PUBLIC LAYER / NCRC FORMAL PREDICATE</t>
  </si>
  <si>
    <t xml:space="preserve">Public cascade</t>
  </si>
  <si>
    <t xml:space="preserve">Rights Floor is the public-facing name for the Non-Compensatory Rights Constraint (NCRC). RF names the Layer 2 gate; NCRC names the formal predicate.</t>
  </si>
  <si>
    <t xml:space="preserve">A Rights Floor failure cannot be rescued by RLS, UCI/HOI, legal permission, majority preference, downstream benefit, or aggregate welfare gains.</t>
  </si>
  <si>
    <t xml:space="preserve">Workbook role</t>
  </si>
  <si>
    <t xml:space="preserve">This sheet is a human-facing alias and explanation layer. The formal calculation surface remains the NCRC sheet for compatibility.</t>
  </si>
  <si>
    <t xml:space="preserve">Machine-readable field</t>
  </si>
  <si>
    <t xml:space="preserve">Use rights_floor.status with formal_constraint: NCRC in schemas and Decision Notes.</t>
  </si>
  <si>
    <t xml:space="preserve">LEVEL 2: RIGHTS FLOOR / NCRC (non-compensatory gate)</t>
  </si>
  <si>
    <t xml:space="preserve">Reference: RippleLogic v11.4 Section 7.0</t>
  </si>
  <si>
    <t xml:space="preserve">Rule: For each right r, MIN impact across coverage set must be ≥ θ_r</t>
  </si>
  <si>
    <t xml:space="preserve">NCRC RIGHTS FLOOR CHECK (Min_I_rights vs θ_r; PASS if Min_I_rights ≥ θ_r)</t>
  </si>
  <si>
    <t xml:space="preserve">OPTION A RIGHTS CHECK</t>
  </si>
  <si>
    <t xml:space="preserve">Source locator (first matching minimum)</t>
  </si>
  <si>
    <t xml:space="preserve">Display order (not emergency priority)</t>
  </si>
  <si>
    <t xml:space="preserve">Min_I_rights_A</t>
  </si>
  <si>
    <t xml:space="preserve">Min_I_rights_B</t>
  </si>
  <si>
    <t xml:space="preserve">Pass_A</t>
  </si>
  <si>
    <t xml:space="preserve">Pass_B</t>
  </si>
  <si>
    <t xml:space="preserve">Worst_Cell_A</t>
  </si>
  <si>
    <t xml:space="preserve">Worst_Cell_B</t>
  </si>
  <si>
    <t xml:space="preserve">NCRC OUTCOME</t>
  </si>
  <si>
    <t xml:space="preserve">Option A:</t>
  </si>
  <si>
    <t xml:space="preserve">PASS (all rights satisfied)</t>
  </si>
  <si>
    <t xml:space="preserve">NCRC_A_status</t>
  </si>
  <si>
    <t xml:space="preserve">(All v_r = 0)</t>
  </si>
  <si>
    <t xml:space="preserve">Option B:</t>
  </si>
  <si>
    <t xml:space="preserve">NCRC_B_status</t>
  </si>
  <si>
    <t xml:space="preserve">Note: Proof snippet columns (H:I) show the Rights_Coverage_View cell holding the worst-off I_rights value when a distinct adverse minimum is identified; they may remain blank for neutral/zero minima.</t>
  </si>
  <si>
    <t xml:space="preserve">Priority order is display-only and does not alter the non-compensatory gate. All rights are checked independently against applicable thresholds. No right may compensate for another right's failure.</t>
  </si>
  <si>
    <t xml:space="preserve">Locator note</t>
  </si>
  <si>
    <t xml:space="preserve">Worst_Cell_A/B are computed locator strings into Rights_Coverage_View for the first matching worst-off cell. They are audit aids, not typed authority; if a locator and displayed minimum diverge, the run must be reviewed.</t>
  </si>
  <si>
    <t xml:space="preserve">LEVEL 3: TAIL RISK CONSTRAINT (TRC)</t>
  </si>
  <si>
    <t xml:space="preserve">Reference: RippleLogic v11.4 Appendix D.7</t>
  </si>
  <si>
    <t xml:space="preserve">Algorithm: Discrete CVaR with sorted-tail method</t>
  </si>
  <si>
    <t xml:space="preserve">PARAMETERS</t>
  </si>
  <si>
    <t xml:space="preserve">α (confidence):</t>
  </si>
  <si>
    <t xml:space="preserve">SortKey</t>
  </si>
  <si>
    <t xml:space="preserve">Rank</t>
  </si>
  <si>
    <t xml:space="preserve">Sorted scenarios</t>
  </si>
  <si>
    <t xml:space="preserve">β (tail mass):</t>
  </si>
  <si>
    <t xml:space="preserve">Cum_p</t>
  </si>
  <si>
    <t xml:space="preserve">Tail_w</t>
  </si>
  <si>
    <t xml:space="preserve">Tail_contrib</t>
  </si>
  <si>
    <t xml:space="preserve">τ_TRC (threshold):</t>
  </si>
  <si>
    <t xml:space="preserve">Context:</t>
  </si>
  <si>
    <t xml:space="preserve">OPTION A: CVaR COMPUTATION</t>
  </si>
  <si>
    <t xml:space="preserve">Step 1: Sort scenarios by Loss DESCENDING</t>
  </si>
  <si>
    <t xml:space="preserve">In Tail</t>
  </si>
  <si>
    <t xml:space="preserve">Tail_Weight</t>
  </si>
  <si>
    <t xml:space="preserve">Contribution</t>
  </si>
  <si>
    <t xml:space="preserve">PARTIAL</t>
  </si>
  <si>
    <t xml:space="preserve">Step 2: CVaR_A = Σ(Contribution) / β</t>
  </si>
  <si>
    <t xml:space="preserve">Sum of contributions:</t>
  </si>
  <si>
    <t xml:space="preserve">CVaR_A:</t>
  </si>
  <si>
    <t xml:space="preserve">Status:</t>
  </si>
  <si>
    <t xml:space="preserve">(CVaR_A = 0.0219 ≤ τ_TRC = 0.20)</t>
  </si>
  <si>
    <t xml:space="preserve">OPTION B: CVaR COMPUTATION</t>
  </si>
  <si>
    <t xml:space="preserve">Step 2: CVaR_B = Σ(Contribution) / β</t>
  </si>
  <si>
    <t xml:space="preserve">CVaR_B:</t>
  </si>
  <si>
    <t xml:space="preserve">(CVaR_B = 0.0315 ≤ τ_TRC = 0.20)</t>
  </si>
  <si>
    <t xml:space="preserve">TRC OUTCOME</t>
  </si>
  <si>
    <t xml:space="preserve">A_adm = {A, B}</t>
  </si>
  <si>
    <t xml:space="preserve">TRC Mode: NORMAL (both options pass)</t>
  </si>
  <si>
    <t xml:space="preserve">Cascade proceeds to Containment (Level 4)</t>
  </si>
  <si>
    <t xml:space="preserve">LEVEL 4: CSV - CONTAINMENT AND STRUCTURAL VIABILITY</t>
  </si>
  <si>
    <t xml:space="preserve">Containment computed</t>
  </si>
  <si>
    <t xml:space="preserve">Reference</t>
  </si>
  <si>
    <t xml:space="preserve">Canon v11.4 Section 9: CSV evaluates containing-system integrity, structural viability, hollowing/dependency/lock-in risk, and controls/redesign status before RLS.</t>
  </si>
  <si>
    <t xml:space="preserve">τ_c</t>
  </si>
  <si>
    <t xml:space="preserve">CSV is not a purity filter. Residual harms may carry to RLS; uncontained or structurally non-viable harms trigger controls, redesign, escalation, emergency provisional treatment, or failure.</t>
  </si>
  <si>
    <t xml:space="preserve">S_u(A)</t>
  </si>
  <si>
    <t xml:space="preserve">S_u(B)</t>
  </si>
  <si>
    <t xml:space="preserve">Union</t>
  </si>
  <si>
    <t xml:space="preserve">A ≥ θ_pos?</t>
  </si>
  <si>
    <t xml:space="preserve">B ≥ θ_pos?</t>
  </si>
  <si>
    <t xml:space="preserve">Containment_Status_A</t>
  </si>
  <si>
    <t xml:space="preserve">Containment_Status_B</t>
  </si>
  <si>
    <t xml:space="preserve">U_pos(A)</t>
  </si>
  <si>
    <t xml:space="preserve">U_pos(B)</t>
  </si>
  <si>
    <t xml:space="preserve">∅</t>
  </si>
  <si>
    <t xml:space="preserve">Interpretation</t>
  </si>
  <si>
    <t xml:space="preserve">A has a containment trigger at U1 (&gt;= θ_pos).</t>
  </si>
  <si>
    <t xml:space="preserve">B has no triggered union; PASS is vacuous.</t>
  </si>
  <si>
    <t xml:space="preserve">Outcome</t>
  </si>
  <si>
    <t xml:space="preserve">A_sel (Selectable): {A, B}</t>
  </si>
  <si>
    <t xml:space="preserve">RLS may proceed only after RG, RF/NCRC, TRC, and CSV have formed A_sel.</t>
  </si>
  <si>
    <t xml:space="preserve">This sheet now displays a single audit table sourced from the computed containment values at J6:L12. The right block remains the calculation source; the left block is a clean reader-facing view.</t>
  </si>
  <si>
    <t xml:space="preserve">CSV_NOT_MATERIAL/SV note</t>
  </si>
  <si>
    <t xml:space="preserve">A low containment burden does not waive Structural Viability where execution feasibility, resource closure, dependency closure, reversibility, capacity, or internal coherence is material.</t>
  </si>
  <si>
    <t xml:space="preserve">CSV evidence posture</t>
  </si>
  <si>
    <t xml:space="preserve">Tier-2 assumption-bound CSV proxy in this worked-run exemplar; not Tier-3 validated UCI proof.</t>
  </si>
  <si>
    <t xml:space="preserve">Triggered union</t>
  </si>
  <si>
    <t xml:space="preserve">A: U1; B: none</t>
  </si>
  <si>
    <t xml:space="preserve">A triggers because S_u(A)=0.0560 ≥ θ_pos=0.05. B has no positive trigger.</t>
  </si>
  <si>
    <t xml:space="preserve">Ancestor / containing-scope review</t>
  </si>
  <si>
    <t xml:space="preserve">Anc(U1)=U2,U3,U4,U5,U6,U7</t>
  </si>
  <si>
    <t xml:space="preserve">No independent ΔUCI degradation is entered in this workbook; Tier 3 would require measured or governed containing-scope evidence.</t>
  </si>
  <si>
    <t xml:space="preserve">ΔUCI / M_u proof status</t>
  </si>
  <si>
    <t xml:space="preserve">ASSUMPTION_BOUND_TIER_2</t>
  </si>
  <si>
    <t xml:space="preserve">Status PASS is scoped to Tier 2 worked-run semantics. If Tier 3 CSV evidence is claimed, set CONTAINMENT_UCI_UNAVAILABLE or collect data and rerun.</t>
  </si>
  <si>
    <t xml:space="preserve">Controls / redesign note</t>
  </si>
  <si>
    <t xml:space="preserve">No hidden unbounded burden is asserted for this exemplar; this is not empirical validation of UCI/HOI.</t>
  </si>
  <si>
    <t xml:space="preserve">CONTAINMENT OUTCOME</t>
  </si>
  <si>
    <t xml:space="preserve">Cascade proceeds to RLS (Level 5) after Reality Grounding, NCRC, TRC, and Containment have formed the selectable set.</t>
  </si>
  <si>
    <t xml:space="preserve">STRUCTURAL VIABILITY INSIDE CSV - v4.4</t>
  </si>
  <si>
    <t xml:space="preserve">Checks whether the option can actually stand inside the declared reality surface before RLS selection claims.</t>
  </si>
  <si>
    <t xml:space="preserve">Relation to CSV</t>
  </si>
  <si>
    <t xml:space="preserve">SVC is explicit inside CSV and is not a sixth public level.</t>
  </si>
  <si>
    <t xml:space="preserve">Disposition</t>
  </si>
  <si>
    <t xml:space="preserve">SVC_FAIL or SVC_INPUT_INSUFFICIENT blocks current selectability unless emergency/provisional protocol applies.</t>
  </si>
  <si>
    <t xml:space="preserve">Core checks</t>
  </si>
  <si>
    <t xml:space="preserve">Resource closure; dependency closure; reversibility/endpoint; capacity non-exceedance; internal non-contradiction.</t>
  </si>
  <si>
    <t xml:space="preserve">SV-1 Resource closure</t>
  </si>
  <si>
    <t xml:space="preserve">Budget/time/personnel/compute/energy/material resources declared and within reserves.</t>
  </si>
  <si>
    <t xml:space="preserve">Not selectable for current execution; redesign or declare missing resource.</t>
  </si>
  <si>
    <t xml:space="preserve">SV-2 Dependency closure</t>
  </si>
  <si>
    <t xml:space="preserve">Preconditions are satisfied or have owner, timeline, and satisfaction path.</t>
  </si>
  <si>
    <t xml:space="preserve">Not selectable until dependency path is declared.</t>
  </si>
  <si>
    <t xml:space="preserve">SV-3 Reversibility / endpoint coherence</t>
  </si>
  <si>
    <t xml:space="preserve">Rollback path exists, or irreversibility is intended, authorized, and claim-bounded.</t>
  </si>
  <si>
    <t xml:space="preserve">Escalate or refuse current execution.</t>
  </si>
  <si>
    <t xml:space="preserve">SV-4 Capacity non-exceedance</t>
  </si>
  <si>
    <t xml:space="preserve">Executing system does not exceed throughput, staff, compute, time, authority, or institutional bandwidth.</t>
  </si>
  <si>
    <t xml:space="preserve">Not selectable for deployment until capacity is sufficient.</t>
  </si>
  <si>
    <t xml:space="preserve">SV-5 Internal non-contradiction</t>
  </si>
  <si>
    <t xml:space="preserve">Option does not require mutually incompatible states unless reconciliation is declared.</t>
  </si>
  <si>
    <t xml:space="preserve">Refuse current selection or narrow claim boundary.</t>
  </si>
  <si>
    <t xml:space="preserve">SVC_STATUS</t>
  </si>
  <si>
    <t xml:space="preserve">SVC_PASS = AND(SV-1..SV-5) where material.</t>
  </si>
  <si>
    <t xml:space="preserve">FAIL_OR_UNKNOWN blocks immediate action/RLS claim of current selectability.</t>
  </si>
  <si>
    <t xml:space="preserve">SVC_REQUIRED</t>
  </si>
  <si>
    <t xml:space="preserve">Required when execution, resources, dependencies, reversibility, capacity, or internal consistency is material.</t>
  </si>
  <si>
    <t xml:space="preserve">If materiality unknown, treat as review/escalate.</t>
  </si>
  <si>
    <t xml:space="preserve">RLS_ALLOWED</t>
  </si>
  <si>
    <t xml:space="preserve">RLS ranks only options that remain selectable after Containment/SVC.</t>
  </si>
  <si>
    <t xml:space="preserve">NO means no current deterministic selection claim.</t>
  </si>
  <si>
    <t xml:space="preserve">NON-IMPORT BOUNDARY</t>
  </si>
  <si>
    <t xml:space="preserve">NO SOS ontology</t>
  </si>
  <si>
    <t xml:space="preserve">SVC uses declared resources/dependencies/capacity/contradiction checks only.</t>
  </si>
  <si>
    <t xml:space="preserve">No capacity/binding, epsilon/eta, quadratic regime, or hidden reference generator.</t>
  </si>
  <si>
    <t xml:space="preserve">LEVEL 5: RIPPLELOGIC SCORE (RLS)</t>
  </si>
  <si>
    <t xml:space="preserve">Reference: RippleLogic v11.4 Section 10.0</t>
  </si>
  <si>
    <t xml:space="preserve">RLS = Σ_u Σ_d w_u × v_d × m(u,d) × κ(u,d) × I_prop_welfare(u,d,a)</t>
  </si>
  <si>
    <t xml:space="preserve">RLS(A)</t>
  </si>
  <si>
    <t xml:space="preserve">RLS(B)</t>
  </si>
  <si>
    <t xml:space="preserve">Higher RLS option (non-decisive; not deterministic framework selection)</t>
  </si>
  <si>
    <t xml:space="preserve">Live contribution table (reader-facing; sourced from I_prop × PLSS × v_d)</t>
  </si>
  <si>
    <t xml:space="preserve">w_u</t>
  </si>
  <si>
    <t xml:space="preserve">v_d</t>
  </si>
  <si>
    <t xml:space="preserve">Contribution_A</t>
  </si>
  <si>
    <t xml:space="preserve">Contribution_B</t>
  </si>
  <si>
    <t xml:space="preserve">U1-D5</t>
  </si>
  <si>
    <t xml:space="preserve">I_prop / PLSS / Parameters</t>
  </si>
  <si>
    <t xml:space="preserve">Live formula row</t>
  </si>
  <si>
    <t xml:space="preserve">U1-D6</t>
  </si>
  <si>
    <t xml:space="preserve">U2-D1</t>
  </si>
  <si>
    <t xml:space="preserve">U3-D1</t>
  </si>
  <si>
    <t xml:space="preserve">U3-D3</t>
  </si>
  <si>
    <t xml:space="preserve">U4-D1</t>
  </si>
  <si>
    <t xml:space="preserve">U7-D7</t>
  </si>
  <si>
    <t xml:space="preserve">Sum Contribution_A</t>
  </si>
  <si>
    <t xml:space="preserve">Sum Contribution_B</t>
  </si>
  <si>
    <t xml:space="preserve">Displayed RLS(A)</t>
  </si>
  <si>
    <t xml:space="preserve">Displayed RLS(B)</t>
  </si>
  <si>
    <t xml:space="preserve">Contribution display note</t>
  </si>
  <si>
    <t xml:space="preserve">This table is formula-sourced from live impact and weight sheets. If this sum diverges from RLS(A/B), inspect for additional nonzero cells or formula changes.</t>
  </si>
  <si>
    <t xml:space="preserve">RLS COMPARISON</t>
  </si>
  <si>
    <t xml:space="preserve">Gap</t>
  </si>
  <si>
    <t xml:space="preserve">σ_est</t>
  </si>
  <si>
    <t xml:space="preserve">RLS outcome</t>
  </si>
  <si>
    <t xml:space="preserve">Higher RLS</t>
  </si>
  <si>
    <t xml:space="preserve">RLS OUTCOME</t>
  </si>
  <si>
    <t xml:space="preserve">Selection interpretation</t>
  </si>
  <si>
    <t xml:space="preserve">Per Section 10.0: RLS MUST NEVER override NCRC or TRC</t>
  </si>
  <si>
    <t xml:space="preserve">Separation Ratio caveat: the Gap/δ value is a dimensionless governance decisiveness ratio, not a z-score, p-value, confidence level, or empirical validation claim.</t>
  </si>
  <si>
    <t xml:space="preserve">CANONICAL RLS WEIGHT MATRIX (v4.4: live union weights use PLSS_Local_Scope final weights)</t>
  </si>
  <si>
    <t xml:space="preserve">Canonical RLS values for this run are the live values shown in the summary rows of this sheet and in CANON.</t>
  </si>
  <si>
    <t xml:space="preserve">Preferred by RLS (higher)</t>
  </si>
  <si>
    <t xml:space="preserve">RLS formula integrity note</t>
  </si>
  <si>
    <t xml:space="preserve">Live RLS uses PLSS_Local_Scope!E12:E18 and Parameters!B48:B54. Earlier archive/placeholder parameter rows are non-controlling.</t>
  </si>
  <si>
    <t xml:space="preserve">UCI/HOI STRUCTURAL DIAGNOSTICS - v4.4</t>
  </si>
  <si>
    <t xml:space="preserve">RippleLogic v11.4 Section 11 and Section 9.3.2</t>
  </si>
  <si>
    <t xml:space="preserve">Placement rule</t>
  </si>
  <si>
    <t xml:space="preserve">UCI/HOI are structural diagnostics, not headline cascade stages. Gate-relevant use belongs inside Containment. Residual use is special-case only.</t>
  </si>
  <si>
    <t xml:space="preserve">Containment use</t>
  </si>
  <si>
    <t xml:space="preserve">If UCI/HOI indicates coherence loss, hollowing, brittleness, burnout, trust collapse, ecological degradation, or governance-capacity loss beyond threshold, it is evaluated inside Containment before RLS.</t>
  </si>
  <si>
    <t xml:space="preserve">Residual use</t>
  </si>
  <si>
    <t xml:space="preserve">If options already passed Containment and RLS is tied, close, uncertainty-overlapped, or non-decisive, UCI/HOI may be used as tie-break, monitoring, or hollowing-risk documentation.</t>
  </si>
  <si>
    <t xml:space="preserve">Prohibited use</t>
  </si>
  <si>
    <t xml:space="preserve">Residual UCI/HOI may not rescue failed Containment, missing Reality Grounding, NCRC failure, TRC failure, or missing containment evidence.</t>
  </si>
  <si>
    <t xml:space="preserve">UCI computes structural condition independent of welfare impacts.</t>
  </si>
  <si>
    <t xml:space="preserve">Per union u: UCI_u = (Cohesion + Flow + Resilience + Equity) / 4</t>
  </si>
  <si>
    <t xml:space="preserve">Overall: UCI = average(UCI_u) across unions (Tier 2).</t>
  </si>
  <si>
    <t xml:space="preserve">R = Review cycle, E = Evidence quality</t>
  </si>
  <si>
    <t xml:space="preserve">(Tier 3: sources/provenance required; UCI must be structurally independent of RLS inputs.)</t>
  </si>
  <si>
    <t xml:space="preserve">C (Cohesion)</t>
  </si>
  <si>
    <t xml:space="preserve">F (Flow)</t>
  </si>
  <si>
    <t xml:space="preserve">R (Resilience)</t>
  </si>
  <si>
    <t xml:space="preserve">E (Equity)</t>
  </si>
  <si>
    <t xml:space="preserve">UCI_u</t>
  </si>
  <si>
    <t xml:space="preserve">UCI (mean over unions)</t>
  </si>
  <si>
    <t xml:space="preserve">Note: E₁ := 1 by definition; E₇ := 1 by default unless a governed biosphere-equity instrument is declared and recorded in PCC.</t>
  </si>
  <si>
    <t xml:space="preserve">For Tier 3: require independent structural indicators</t>
  </si>
  <si>
    <t xml:space="preserve">HOI STATUS</t>
  </si>
  <si>
    <t xml:space="preserve">HOI = 0 (no human override requested)</t>
  </si>
  <si>
    <t xml:space="preserve">Status: OK</t>
  </si>
  <si>
    <t xml:space="preserve">TIE-BREAK OUTCOME</t>
  </si>
  <si>
    <t xml:space="preserve">UCI: Available for tie-break / monitoring disclosure</t>
  </si>
  <si>
    <t xml:space="preserve">HOI: 0 (no hollowing-out risk flagged in this worked run)</t>
  </si>
  <si>
    <t xml:space="preserve">Resolution: Judgment-call / higher RLS selection remains disclosed separately on Dashboard tie-break / monitoring surface.</t>
  </si>
  <si>
    <t xml:space="preserve">RIPPLELOGIC v11.4 - DECISION DASHBOARD</t>
  </si>
  <si>
    <t xml:space="preserve">Sheet: v4.4</t>
  </si>
  <si>
    <t xml:space="preserve">Framework: RippleLogic v11.4 / Sheet v4.4 / Core Release 2026.09</t>
  </si>
  <si>
    <t xml:space="preserve">Worked-Run Claimable</t>
  </si>
  <si>
    <t xml:space="preserve">Unique Deterministic Framework Selection</t>
  </si>
  <si>
    <t xml:space="preserve">DISCLOSURE</t>
  </si>
  <si>
    <t xml:space="preserve">This workbook is a worked-run exemplar companion. It is not a repository-level validator, not a generalized multi-option engine, and not a substitute for canonical Markdown/DOCX or schema surfaces. Current dashboard selection compares Option A vs Option B only. Method C constant-sigma uncertainty is demonstration-grade, not production calibrated. Source-Coupling Integrity is disclosed on the Source_Coupling sheet and supports only worked-run claim boundaries unless independently validated.</t>
  </si>
  <si>
    <t xml:space="preserve">Authority selection after non-decisive framework verdict</t>
  </si>
  <si>
    <t xml:space="preserve">Documented authority selection over non-decisive admissible set; not deterministic framework selection</t>
  </si>
  <si>
    <t xml:space="preserve">Canonical Invalid Flags</t>
  </si>
  <si>
    <t xml:space="preserve">DECISION CONTEXT</t>
  </si>
  <si>
    <t xml:space="preserve">Canonical Escalation Flags</t>
  </si>
  <si>
    <t xml:space="preserve">Decision:</t>
  </si>
  <si>
    <t xml:space="preserve">Canonical Review Flags</t>
  </si>
  <si>
    <t xml:space="preserve">Date:</t>
  </si>
  <si>
    <t xml:space="preserve">Tool-Local Review Flags</t>
  </si>
  <si>
    <t xml:space="preserve">Tier:</t>
  </si>
  <si>
    <t xml:space="preserve">TRC Active:</t>
  </si>
  <si>
    <t xml:space="preserve">FIVE-LEVEL METHOD</t>
  </si>
  <si>
    <t xml:space="preserve">Level</t>
  </si>
  <si>
    <t xml:space="preserve">Function</t>
  </si>
  <si>
    <t xml:space="preserve">Option A</t>
  </si>
  <si>
    <t xml:space="preserve">Option B</t>
  </si>
  <si>
    <t xml:space="preserve">Resolution</t>
  </si>
  <si>
    <t xml:space="preserve">1</t>
  </si>
  <si>
    <t xml:space="preserve">Reality Grounding</t>
  </si>
  <si>
    <t xml:space="preserve">Run-level: ASSUMPTION_BOUND; applies to both options; see Reality_Grounding and Category_Grounding sheets.</t>
  </si>
  <si>
    <t xml:space="preserve">2</t>
  </si>
  <si>
    <t xml:space="preserve">Rights Floor / NCRC</t>
  </si>
  <si>
    <t xml:space="preserve">3</t>
  </si>
  <si>
    <t xml:space="preserve">Tail-Risk Bound / TRC</t>
  </si>
  <si>
    <t xml:space="preserve">PASS (CVaR=0.0219)</t>
  </si>
  <si>
    <t xml:space="preserve">PASS (CVaR=0.0315)</t>
  </si>
  <si>
    <t xml:space="preserve">Both Pass</t>
  </si>
  <si>
    <t xml:space="preserve">4</t>
  </si>
  <si>
    <t xml:space="preserve">CSV / Containment and Structural Viability</t>
  </si>
  <si>
    <t xml:space="preserve">CSV reviewed under Tier-2 assumption-bound worked-run posture; no Tier-3 validated UCI/HOI evidence claimed; RLS remains non-decisive.</t>
  </si>
  <si>
    <t xml:space="preserve">Non-decisive warning:</t>
  </si>
  <si>
    <t xml:space="preserve">RLS lead is non-decisive. Framework verdict is REFUSE_DETERMINISTIC_SELECTION; any authority-selected option is disclosed separately and must not be quoted as deterministic framework selection.</t>
  </si>
  <si>
    <t xml:space="preserve">0.015313</t>
  </si>
  <si>
    <t xml:space="preserve">-0.001122</t>
  </si>
  <si>
    <t xml:space="preserve">Framework verdict: REFUSE_DETERMINISTIC_SELECTION</t>
  </si>
  <si>
    <t xml:space="preserve">Selection-note:</t>
  </si>
  <si>
    <t xml:space="preserve">Two-option surface only (A/B); A and B remain admissible/selectable for worked-run review after RG, RF/NCRC, TRC, CSV, and SVC.</t>
  </si>
  <si>
    <t xml:space="preserve">SPECIAL-CASE STRUCTURAL DIAGNOSTICS</t>
  </si>
  <si>
    <t xml:space="preserve">UCI/HOI are structural diagnostics. Gate-relevant use belongs inside CSV. Residual use occurs only when RLS is tied, close, or non-decisive.</t>
  </si>
  <si>
    <t xml:space="preserve">Tie-break status</t>
  </si>
  <si>
    <t xml:space="preserve">Tie-break / authority-selection status: RLS is non-decisive in this worked run. The framework refuses deterministic selection; any authority selection is separately documented, with monitoring and review.</t>
  </si>
  <si>
    <t xml:space="preserve">PLSS Scope Note:</t>
  </si>
  <si>
    <t xml:space="preserve">RELEASE BOUNDARY</t>
  </si>
  <si>
    <t xml:space="preserve">STATUS</t>
  </si>
  <si>
    <t xml:space="preserve">INTERPRETATION</t>
  </si>
  <si>
    <t xml:space="preserve">Worked-run exemplar</t>
  </si>
  <si>
    <t xml:space="preserve">Useful for replay/training; not a validator or reference calculator.</t>
  </si>
  <si>
    <t xml:space="preserve">ProofPack-ready</t>
  </si>
  <si>
    <t xml:space="preserve">Requires separate bundled/hash-pinned replay assets.</t>
  </si>
  <si>
    <t xml:space="preserve">Tier 4-ready</t>
  </si>
  <si>
    <t xml:space="preserve">Prohibited for all released versions, including v11.4, until ProofPack is independently replayable.</t>
  </si>
  <si>
    <t xml:space="preserve">Empirical validation</t>
  </si>
  <si>
    <t xml:space="preserve">Requires pilot results and external review.</t>
  </si>
  <si>
    <t xml:space="preserve">Machine-verifiable ecosystem complete</t>
  </si>
  <si>
    <t xml:space="preserve">Requires schemas, validator, calculator, machine vectors, replay instructions.</t>
  </si>
  <si>
    <t xml:space="preserve">UCI maturity</t>
  </si>
  <si>
    <t xml:space="preserve">Provisional</t>
  </si>
  <si>
    <t xml:space="preserve">Structural diagnostic only; no cross-domain validation claim.</t>
  </si>
  <si>
    <t xml:space="preserve">Biological SGP maturity</t>
  </si>
  <si>
    <t xml:space="preserve">Human-only worked run; biological SGP evidence not invoked. No individualized biological measurement-completeness claim.</t>
  </si>
  <si>
    <t xml:space="preserve">Public claim wording</t>
  </si>
  <si>
    <t xml:space="preserve">Worked-run publishable with explicit non-deterministic selection boundary</t>
  </si>
  <si>
    <t xml:space="preserve">Avoid unqualified publish-ready or deterministic-selection language.</t>
  </si>
  <si>
    <t xml:space="preserve">Next step</t>
  </si>
  <si>
    <t xml:space="preserve">post-core ProofPack-prep tooling line</t>
  </si>
  <si>
    <t xml:space="preserve">Reference calculator, schemas, vectors, validators, and ProofPack-prep assets.</t>
  </si>
  <si>
    <t xml:space="preserve">Tool-Local Review Flags:</t>
  </si>
  <si>
    <t xml:space="preserve">Triggered Flags:</t>
  </si>
  <si>
    <t xml:space="preserve">Audit flags (active)</t>
  </si>
  <si>
    <t xml:space="preserve">REVIEW ACTIONS DOCUMENTED</t>
  </si>
  <si>
    <t xml:space="preserve">1. ✓ Judgment call rationale documented in PCC / 5SPR</t>
  </si>
  <si>
    <t xml:space="preserve">2. ✓ Monitoring requirement captured through ExecutionStability</t>
  </si>
  <si>
    <t xml:space="preserve">3. ✓ Review date updated:</t>
  </si>
  <si>
    <t xml:space="preserve">2026-05-11</t>
  </si>
  <si>
    <t xml:space="preserve">4. ✓ Tier 3 upgrade condition documented if stakes increase</t>
  </si>
  <si>
    <t xml:space="preserve">EXECUTION STABILITY DIAGNOSTIC</t>
  </si>
  <si>
    <t xml:space="preserve">ESD Regime Token</t>
  </si>
  <si>
    <t xml:space="preserve">ESD Claim Boundary</t>
  </si>
  <si>
    <t xml:space="preserve">Worked-run exemplar only; production claim requires filled PCC.ExecutionStabilityRecord</t>
  </si>
  <si>
    <t xml:space="preserve">ESD Non-Override Rule</t>
  </si>
  <si>
    <t xml:space="preserve">Cannot rescue RF/NCRC and TRC/Containment/Refusal failure</t>
  </si>
  <si>
    <t xml:space="preserve">ESD Action</t>
  </si>
  <si>
    <t xml:space="preserve">Proceed only with monitoring/staging where otherwise selectable</t>
  </si>
  <si>
    <t xml:space="preserve">Worked-run/review gate note</t>
  </si>
  <si>
    <t xml:space="preserve">Active TOOL_LOCAL REVIEW flags require reviewer attention and monitoring, but do not by themselves negate worked-run publishability unless they also raise active sanity failure count, INVALID, ESCALATE, Refusal, or another blocking condition on the declared sanity surface.</t>
  </si>
  <si>
    <t xml:space="preserve">TRANSITION ADMISSIBILITY</t>
  </si>
  <si>
    <t xml:space="preserve">Transition ID</t>
  </si>
  <si>
    <t xml:space="preserve">TAC-ORG-2026-001</t>
  </si>
  <si>
    <t xml:space="preserve">Binary-gate evidence rule</t>
  </si>
  <si>
    <t xml:space="preserve">Gate outcomes remain binary where required, but evidence is declared as worked-run exemplar evidence rather than empirical validation.</t>
  </si>
  <si>
    <t xml:space="preserve">See Reality_Grounding sheet</t>
  </si>
  <si>
    <t xml:space="preserve">Reference structure declared</t>
  </si>
  <si>
    <t xml:space="preserve">ReferenceStructureRecord status</t>
  </si>
  <si>
    <t xml:space="preserve">Reference object</t>
  </si>
  <si>
    <t xml:space="preserve">Remote work policy implementation decision evaluated against RippleLogic v11.4 RCR/RSP, RF/NCRC and TRC/Containment/RLS/UCI-HOI, PCC, and workbook evidence surfaces.</t>
  </si>
  <si>
    <t xml:space="preserve">RSP boundary</t>
  </si>
  <si>
    <t xml:space="preserve">Strengthens evidence substrate and auditability; does not alter cascade or create stronger validation/deployment claims.</t>
  </si>
  <si>
    <t xml:space="preserve">AUDIT FLAGS - FORMULA-DRIVEN SSOT (v4.4)</t>
  </si>
  <si>
    <t xml:space="preserve">ALL Triggered cells (B5:B17) are FORMULAS - zero typed values</t>
  </si>
  <si>
    <t xml:space="preserve">Manual override detector (B18) catches any tampering</t>
  </si>
  <si>
    <t xml:space="preserve">Flag_ID</t>
  </si>
  <si>
    <t xml:space="preserve">Triggered</t>
  </si>
  <si>
    <t xml:space="preserve">Severity</t>
  </si>
  <si>
    <t xml:space="preserve">Formula Logic</t>
  </si>
  <si>
    <t xml:space="preserve">Helper_Flag</t>
  </si>
  <si>
    <t xml:space="preserve">Helper_Sev</t>
  </si>
  <si>
    <t xml:space="preserve">CATASTROPHE_CELL_OMITTED_INVALID</t>
  </si>
  <si>
    <t xml:space="preserve">INVALID</t>
  </si>
  <si>
    <t xml:space="preserve">Any catastrophe cell in C_cat used in TRC loss computation/disclosure is omitted/excluded/not disclosed such that TRC CVaR cannot be independently recomputed (e.g., C_cat blank when TRC active).</t>
  </si>
  <si>
    <t xml:space="preserve">CANON!B13,B76</t>
  </si>
  <si>
    <t xml:space="preserve">MANDATORY_TAIL_CATEGORY_MISSING</t>
  </si>
  <si>
    <t xml:space="preserve">Missing mandatory tail category (required WTSL category not covered at p_floor).</t>
  </si>
  <si>
    <t xml:space="preserve">WTSL_Categories!B16,B17</t>
  </si>
  <si>
    <t xml:space="preserve">CONFIG_DRIFT</t>
  </si>
  <si>
    <t xml:space="preserve">Config version &lt;&gt; CANON</t>
  </si>
  <si>
    <t xml:space="preserve">Config!B2&lt;&gt;CANON!B7</t>
  </si>
  <si>
    <t xml:space="preserve">RIGHTS_COUNT_MISMATCH</t>
  </si>
  <si>
    <t xml:space="preserve">Rights count &lt;&gt; 8</t>
  </si>
  <si>
    <t xml:space="preserve">CANON!B38&lt;&gt;8</t>
  </si>
  <si>
    <t xml:space="preserve">SELECTION_INVALID</t>
  </si>
  <si>
    <t xml:space="preserve">No valid selection</t>
  </si>
  <si>
    <t xml:space="preserve">SELECTED_OPTION blank</t>
  </si>
  <si>
    <t xml:space="preserve">TRC_FALLBACK_INVOKED</t>
  </si>
  <si>
    <t xml:space="preserve">TRC failed for admissible</t>
  </si>
  <si>
    <t xml:space="preserve">A_NCRC&gt;0 AND A_ADM=0</t>
  </si>
  <si>
    <t xml:space="preserve">CANON!B67,B68</t>
  </si>
  <si>
    <t xml:space="preserve">EMERGENCY_MODE_INVOKED</t>
  </si>
  <si>
    <t xml:space="preserve">No rights-admissible options</t>
  </si>
  <si>
    <t xml:space="preserve">A_NCRC_COUNT=0</t>
  </si>
  <si>
    <t xml:space="preserve">CANON!B67</t>
  </si>
  <si>
    <t xml:space="preserve">Escalation required</t>
  </si>
  <si>
    <t xml:space="preserve">CANON!B73=YES</t>
  </si>
  <si>
    <t xml:space="preserve">CANON!B73</t>
  </si>
  <si>
    <t xml:space="preserve">SIGMA_MISSING_REQUIRED</t>
  </si>
  <si>
    <t xml:space="preserve">Uncertainty σ required for Tier 2+ but missing/invalid (method or sigma_est not declared).</t>
  </si>
  <si>
    <t xml:space="preserve">CANON!B10,B26,B137</t>
  </si>
  <si>
    <t xml:space="preserve">SUBGROUP_LIMITATION</t>
  </si>
  <si>
    <t xml:space="preserve">REVIEW</t>
  </si>
  <si>
    <t xml:space="preserve">No subgroup override entries AND no documented subgroup analysis</t>
  </si>
  <si>
    <t xml:space="preserve">Overrides=0 AND analysis_done=0</t>
  </si>
  <si>
    <t xml:space="preserve">Subgroup_Overrides!B17 + Subgroup_Analysis!B46</t>
  </si>
  <si>
    <t xml:space="preserve">NONDECISIVE_GAP_REVIEW</t>
  </si>
  <si>
    <t xml:space="preserve">RLS discrimination band indicates a non-decisive gap; PCC documents judgment-call rationale before selection; requires reviewer attention / monitoring.</t>
  </si>
  <si>
    <t xml:space="preserve">RLS!B38=NON-DECISIVE; PCC!B64/B84 documents judgment-call rationale</t>
  </si>
  <si>
    <t xml:space="preserve">CANON!B10,RLS!B38,CANON!B94,PCC!B64,PCC!B84</t>
  </si>
  <si>
    <t xml:space="preserve">UCI_SOURCE_UNVERIFIED</t>
  </si>
  <si>
    <t xml:space="preserve">UCI unverified (Tier 3+)</t>
  </si>
  <si>
    <t xml:space="preserve">TIER&gt;=3</t>
  </si>
  <si>
    <t xml:space="preserve">CANON!B10</t>
  </si>
  <si>
    <t xml:space="preserve">SENSITIVITY_NOT_RUN</t>
  </si>
  <si>
    <t xml:space="preserve">Sensitivity not executed</t>
  </si>
  <si>
    <t xml:space="preserve">Status=NOT PERFORMED</t>
  </si>
  <si>
    <t xml:space="preserve">Sensitivity_Analysis!B3</t>
  </si>
  <si>
    <t xml:space="preserve">MANUAL_FLAG_OVERRIDE</t>
  </si>
  <si>
    <t xml:space="preserve">Manual override detected</t>
  </si>
  <si>
    <t xml:space="preserve">Triggers if any flag trigger cell is not an explicit YES/NO (format break / potential manual overwrite).</t>
  </si>
  <si>
    <t xml:space="preserve">Self-check</t>
  </si>
  <si>
    <t xml:space="preserve">ACTIVE_FLAG_DETAILS</t>
  </si>
  <si>
    <t xml:space="preserve">COMPUTED SUMMARY (COUNTIFS formulas)</t>
  </si>
  <si>
    <t xml:space="preserve">INVALID_FLAGS_LIST</t>
  </si>
  <si>
    <t xml:space="preserve">(none)</t>
  </si>
  <si>
    <t xml:space="preserve">INVALID_COUNT</t>
  </si>
  <si>
    <t xml:space="preserve">Formula</t>
  </si>
  <si>
    <t xml:space="preserve">ESCALATE_FLAGS_LIST</t>
  </si>
  <si>
    <t xml:space="preserve">ESCALATE_COUNT</t>
  </si>
  <si>
    <t xml:space="preserve">REVIEW_FLAGS_LIST</t>
  </si>
  <si>
    <t xml:space="preserve">REVIEW_COUNT</t>
  </si>
  <si>
    <t xml:space="preserve">TOTAL_ACTIVE</t>
  </si>
  <si>
    <t xml:space="preserve">SCOPE_COVERAGE_REDUCED</t>
  </si>
  <si>
    <t xml:space="preserve">Reduced-scope used without ScopeCoverage declaration</t>
  </si>
  <si>
    <t xml:space="preserve">SCOPE_COVERAGE_MODE=REDUCED AND (OmittedScopes=NONE or blank)</t>
  </si>
  <si>
    <t xml:space="preserve">CANON v11.4 fields</t>
  </si>
  <si>
    <t xml:space="preserve">SCI_BELOW_MINIMUM</t>
  </si>
  <si>
    <t xml:space="preserve">SCI below tier minimum (Tier 2: SCI≥1; Tier 3: SCI≥2)</t>
  </si>
  <si>
    <t xml:space="preserve">TIER&gt;=2 AND SCI_LEVEL &lt; tier_minimum</t>
  </si>
  <si>
    <t xml:space="preserve">CANON v11.4 SCI fields</t>
  </si>
  <si>
    <t xml:space="preserve">SCI_AT_MINIMUM_NO_UPGRADE</t>
  </si>
  <si>
    <t xml:space="preserve">SCI at tier minimum but no NextRunUpgrade action declared</t>
  </si>
  <si>
    <t xml:space="preserve">SCI=tier_min AND SCI_NEXT_RUN_UPGRADE blank</t>
  </si>
  <si>
    <t xml:space="preserve">UNCERTAINTY_NOT_DECLARED</t>
  </si>
  <si>
    <t xml:space="preserve">Tier 2+ requires uncertainty method (A/B/C) per v11.4</t>
  </si>
  <si>
    <t xml:space="preserve">TIER&gt;=2 AND UNCERTAINTY_METHOD blank</t>
  </si>
  <si>
    <t xml:space="preserve">CANON v11.4 UNCERTAINTY_METHOD</t>
  </si>
  <si>
    <t xml:space="preserve">STRUCTURAL_VIABILITY_FAIL</t>
  </si>
  <si>
    <t xml:space="preserve">SVC failed for a material current-execution/selectability claim.</t>
  </si>
  <si>
    <t xml:space="preserve">Structural_Viability!B11/C11 = FAIL_OR_UNKNOWN</t>
  </si>
  <si>
    <t xml:space="preserve">Structural_Viability</t>
  </si>
  <si>
    <t xml:space="preserve">SVC_INPUT_INSUFFICIENT</t>
  </si>
  <si>
    <t xml:space="preserve">SVC required but resource/dependency/reversibility/capacity/contradiction status is unknown.</t>
  </si>
  <si>
    <t xml:space="preserve">Structural_Viability status contains UNKNOWN</t>
  </si>
  <si>
    <t xml:space="preserve">STRUCTURAL_OVERRIDE_OF_RIGHTS_INVALID</t>
  </si>
  <si>
    <t xml:space="preserve">Structural viability, stability, or closure was treated as sufficient to override NCRC failure.</t>
  </si>
  <si>
    <t xml:space="preserve">Any selected option where NCRC=FAIL</t>
  </si>
  <si>
    <t xml:space="preserve">Canon v11.4 / SVC invariant</t>
  </si>
  <si>
    <t xml:space="preserve">UNCERTAINTY_DECISIVENESS_SENSITIVE</t>
  </si>
  <si>
    <t xml:space="preserve">Required uncertainty stress tests change whether the lead is decisive.</t>
  </si>
  <si>
    <t xml:space="preserve">Reserved for Tier 3 / extended uncertainty sensitivity surface</t>
  </si>
  <si>
    <t xml:space="preserve">No live stress-test block in worked-run workbook</t>
  </si>
  <si>
    <t xml:space="preserve">PLSS_PROMINENCE_SENSITIVE</t>
  </si>
  <si>
    <t xml:space="preserve">Valid alternative PLSS prominence constructions materially change the ranking order of selectable options or the selected option.</t>
  </si>
  <si>
    <t xml:space="preserve">Reserved for extended PLSS sensitivity surface</t>
  </si>
  <si>
    <t xml:space="preserve">No alternative prominence reruns in worked-run workbook</t>
  </si>
  <si>
    <t xml:space="preserve">CANON LINK VERIFICATION</t>
  </si>
  <si>
    <t xml:space="preserve">CANON!B80 must equal B21</t>
  </si>
  <si>
    <t xml:space="preserve">Match:</t>
  </si>
  <si>
    <t xml:space="preserve">FLAG TAXONOMY NOTE (v11.4)</t>
  </si>
  <si>
    <t xml:space="preserve">This workbook emits two kinds of flags: (1) Canon-aligned audit flags intended to correspond to RippleLogic v11.4 Appendix H.3 reviewer actions, and (2) Tool-local integrity flags that protect the calculator/PCC emitter itself. Tool-local flags are marked TOOL_LOCAL below and SHOULD NOT be interpreted as new RippleLogic normative audit taxonomy.</t>
  </si>
  <si>
    <t xml:space="preserve">Classification</t>
  </si>
  <si>
    <t xml:space="preserve">Canonical reference / mapping</t>
  </si>
  <si>
    <t xml:space="preserve">TOOL_LOCAL</t>
  </si>
  <si>
    <t xml:space="preserve">Workbook config/version mismatch; treat as INVALID for this emitter.</t>
  </si>
  <si>
    <t xml:space="preserve">Workbook sanity check; not a RippleLogic audit flag.</t>
  </si>
  <si>
    <t xml:space="preserve">No selected option; tool integrity failure.</t>
  </si>
  <si>
    <t xml:space="preserve">Manual edits detected in trigger cells; invalidate run output.</t>
  </si>
  <si>
    <t xml:space="preserve">Maps to: REVIEW (underdetermined)</t>
  </si>
  <si>
    <t xml:space="preserve">Indicates discrimination band / non-decisive gap; triggers reviewer attention.</t>
  </si>
  <si>
    <t xml:space="preserve">Maps to: REVIEW (evidence)</t>
  </si>
  <si>
    <t xml:space="preserve">Source provenance for UCI/HOI inputs not documented in this workbook.</t>
  </si>
  <si>
    <t xml:space="preserve">Maps to: REVIEW (sensitivity)</t>
  </si>
  <si>
    <t xml:space="preserve">Sensitivity analysis not executed or not documented for this run.</t>
  </si>
  <si>
    <t xml:space="preserve">Maps to: REVIEW (scope)</t>
  </si>
  <si>
    <t xml:space="preserve">Scope coverage reduced; ensure disclosure in PCC.</t>
  </si>
  <si>
    <t xml:space="preserve">CANON v11.4 AUDIT-FLAG AWARENESS</t>
  </si>
  <si>
    <t xml:space="preserve">CLAIM_EXCEEDS_CLOSURE_BOUNDARY</t>
  </si>
  <si>
    <t xml:space="preserve">CANON_ALIGNED_AWARENESS</t>
  </si>
  <si>
    <t xml:space="preserve">Maps to: INVALID / claim-boundary review</t>
  </si>
  <si>
    <t xml:space="preserve">Flags claims that exceed release closure boundaries such as ProofPack, Tier 4, empirical validation, deployment readiness, legal compliance, completed biological measurement, or current-AI sentience.</t>
  </si>
  <si>
    <t xml:space="preserve">CATEGORY_COLLAPSE_FLAG</t>
  </si>
  <si>
    <t xml:space="preserve">Maps to: REVIEW / construct-separation review</t>
  </si>
  <si>
    <t xml:space="preserve">Flags collapse of Base vs Welfare stream, protection vs authority, compliance vs correctness, reality-grounding status vs evidence trace, or other category boundaries declared by Canon v11.4 and SGP v6.4.</t>
  </si>
  <si>
    <t xml:space="preserve">PCC_MATURITY_SURFACE_INCOMPLETE</t>
  </si>
  <si>
    <t xml:space="preserve">Maps to: REVIEW / maturity-surface review</t>
  </si>
  <si>
    <t xml:space="preserve">Flags missing or incomplete maturity-surface evidence in PCC or companion records for claim-bearing episodes.</t>
  </si>
  <si>
    <t xml:space="preserve">PROVENANCE AND COMPLIANCE CERTIFICATE (PCC)</t>
  </si>
  <si>
    <t xml:space="preserve">SECTION 1: DECISION METADATA</t>
  </si>
  <si>
    <t xml:space="preserve">Decision_ID</t>
  </si>
  <si>
    <t xml:space="preserve">ORG-2026-001</t>
  </si>
  <si>
    <t xml:space="preserve">Decision_Name</t>
  </si>
  <si>
    <t xml:space="preserve">Remote Work Policy Implementation</t>
  </si>
  <si>
    <t xml:space="preserve">Date</t>
  </si>
  <si>
    <t xml:space="preserve">2026-02-01</t>
  </si>
  <si>
    <t xml:space="preserve">Evaluator</t>
  </si>
  <si>
    <t xml:space="preserve">James McGaughran, Lead Architect, MathGov Institute</t>
  </si>
  <si>
    <t xml:space="preserve">Reviewer</t>
  </si>
  <si>
    <t xml:space="preserve">Author/release self-review; independent external review not performed for this Tier 2 exemplar.</t>
  </si>
  <si>
    <t xml:space="preserve">Tier_Level</t>
  </si>
  <si>
    <t xml:space="preserve">2 (Core)</t>
  </si>
  <si>
    <t xml:space="preserve">Context_Type</t>
  </si>
  <si>
    <t xml:space="preserve">Sheet_Version</t>
  </si>
  <si>
    <t xml:space="preserve">Framework_Version</t>
  </si>
  <si>
    <t xml:space="preserve">SGP_Version</t>
  </si>
  <si>
    <t xml:space="preserve">YES (Tier 2 worked-run publishable; deterministic framework selection refused; not ProofPack/evaluation validation)</t>
  </si>
  <si>
    <t xml:space="preserve">SECTION 2: CONFIGURATION</t>
  </si>
  <si>
    <t xml:space="preserve">Weight_Profile</t>
  </si>
  <si>
    <t xml:space="preserve">Propagation_Mode</t>
  </si>
  <si>
    <t xml:space="preserve">Kernel_Status</t>
  </si>
  <si>
    <t xml:space="preserve">Not used</t>
  </si>
  <si>
    <t xml:space="preserve">β_saturation</t>
  </si>
  <si>
    <t xml:space="preserve">δ_discrimination</t>
  </si>
  <si>
    <t xml:space="preserve">τ_c_containment</t>
  </si>
  <si>
    <t xml:space="preserve">α_CVaR</t>
  </si>
  <si>
    <t xml:space="preserve">τ_TRC</t>
  </si>
  <si>
    <t xml:space="preserve">Uncertainty_Method</t>
  </si>
  <si>
    <t xml:space="preserve">Method C worked-run profile: a constant σ exemplar is used for all active welfare cells in this workbook for demonstration and replay clarity. This is a worked-run simplification, not a production-calibrated uncertainty model.</t>
  </si>
  <si>
    <t xml:space="preserve">Sigma_AllActiveCells</t>
  </si>
  <si>
    <t xml:space="preserve">σ used for discrimination band ε/δ checks and nondecisive-gap detection (Tier 2 worked run).</t>
  </si>
  <si>
    <t xml:space="preserve">SECTION 3: RIGHTS CONFIGURATION</t>
  </si>
  <si>
    <t xml:space="preserve">Rights_Coverage_Version</t>
  </si>
  <si>
    <t xml:space="preserve">v11.4 Canonical</t>
  </si>
  <si>
    <t xml:space="preserve">Rights_Checked</t>
  </si>
  <si>
    <t xml:space="preserve">8 (LIFE,BODY,LBTY,NEED,DIGN,PROC,INFO,ECOL)</t>
  </si>
  <si>
    <t xml:space="preserve">Coverage_Sets_Count</t>
  </si>
  <si>
    <t xml:space="preserve">Subgroup_Policy</t>
  </si>
  <si>
    <t xml:space="preserve">Conservative subgroup fallback is active by default for negative rights-covered cells: I_rights = MAX(-1, γ_subgroup × I_prop), with explicit values in Subgroup_Overrides taking precedence where documented worst-off impacts exist.</t>
  </si>
  <si>
    <t xml:space="preserve">BaselineType_Welfare</t>
  </si>
  <si>
    <t xml:space="preserve">STATUS_QUO</t>
  </si>
  <si>
    <t xml:space="preserve">Welfare deltas are measured relative to the declared status-quo baseline (not the rights-floor reference).</t>
  </si>
  <si>
    <t xml:space="preserve">BaselineReference_Welfare</t>
  </si>
  <si>
    <t xml:space="preserve">RL v11.4 Sections 6-9 (welfare deltas) + Appendix P conventions</t>
  </si>
  <si>
    <t xml:space="preserve">Explicit declaration for auditability: welfare baseline is STATUS_QUO unless otherwise stated.</t>
  </si>
  <si>
    <t xml:space="preserve">BaselineType_Gates</t>
  </si>
  <si>
    <t xml:space="preserve">FLOOR_REFERENCE</t>
  </si>
  <si>
    <t xml:space="preserve">Rights/catastrophe gating baseline is the rights floor (not status quo).</t>
  </si>
  <si>
    <t xml:space="preserve">BaselineReference_Gates</t>
  </si>
  <si>
    <t xml:space="preserve">RL v11.4 Section 5.1A</t>
  </si>
  <si>
    <t xml:space="preserve">Gate comparisons reference θ_r (rights floors) and declared catastrophe constraints.</t>
  </si>
  <si>
    <t xml:space="preserve">SECTION 4: TRC CONFIGURATION</t>
  </si>
  <si>
    <t xml:space="preserve">C_cat_Set</t>
  </si>
  <si>
    <t xml:space="preserve">C_cat_base = {(U6,D2), (U6,D7), (U7,D7)}.</t>
  </si>
  <si>
    <t xml:space="preserve">C_cat_Weights</t>
  </si>
  <si>
    <t xml:space="preserve">Declared non-default base-set profile: U6-D2=0.35; U6-D7=0.30; U7-D7=0.35.</t>
  </si>
  <si>
    <t xml:space="preserve">C_cat_Extended</t>
  </si>
  <si>
    <t xml:space="preserve">NO C_cat extension active.</t>
  </si>
  <si>
    <t xml:space="preserve">Scenario_Count</t>
  </si>
  <si>
    <t xml:space="preserve">7</t>
  </si>
  <si>
    <t xml:space="preserve">All_WTSL_Covered</t>
  </si>
  <si>
    <t xml:space="preserve">YES (5/5 mandatory)</t>
  </si>
  <si>
    <t xml:space="preserve">All_p_floors_Met</t>
  </si>
  <si>
    <t xml:space="preserve">SECTION 5: CASCADE RESULTS</t>
  </si>
  <si>
    <t xml:space="preserve">Rights_Floor_Status_A</t>
  </si>
  <si>
    <t xml:space="preserve">Rights_Floor_Status_B</t>
  </si>
  <si>
    <t xml:space="preserve">Emergency_Mode</t>
  </si>
  <si>
    <t xml:space="preserve">NOT INVOKED</t>
  </si>
  <si>
    <t xml:space="preserve">A_adm</t>
  </si>
  <si>
    <t xml:space="preserve">{A, B}</t>
  </si>
  <si>
    <t xml:space="preserve">TRC_Fallback</t>
  </si>
  <si>
    <t xml:space="preserve">Containment_A</t>
  </si>
  <si>
    <t xml:space="preserve">Containment proxy diagnostic (Tier-2 exemplar): PASS</t>
  </si>
  <si>
    <t xml:space="preserve">Full Containment Mode A is Tier-3 binding per RippleLogic Canon §9; this worked-run displays a Tier-2 union-score diagnostic only.</t>
  </si>
  <si>
    <t xml:space="preserve">Containment_B</t>
  </si>
  <si>
    <t xml:space="preserve">Containment proxy diagnostic (Tier-2 exemplar): PASS (vacuous)</t>
  </si>
  <si>
    <t xml:space="preserve">RLS_Decisive</t>
  </si>
  <si>
    <t xml:space="preserve">SECTION 6: DECISION</t>
  </si>
  <si>
    <t xml:space="preserve">SECTION 6: DECISION VERDICT AND AUTHORITY SELECTION</t>
  </si>
  <si>
    <t xml:space="preserve">Framework_Verdict</t>
  </si>
  <si>
    <t xml:space="preserve">Multiple admissible options remain and RLS is non-decisive; no unique technical selection is claimed.</t>
  </si>
  <si>
    <t xml:space="preserve">Admissible_Option_Set</t>
  </si>
  <si>
    <t xml:space="preserve">Deterministic_Selection_Claim</t>
  </si>
  <si>
    <t xml:space="preserve">Documented authority/judgment-call selection among admissible options; not a framework-determined unique selection.</t>
  </si>
  <si>
    <t xml:space="preserve">Authority_Basis</t>
  </si>
  <si>
    <t xml:space="preserve">Tier 2 evaluator judgment under disclosed non-decisive RLS lead</t>
  </si>
  <si>
    <t xml:space="preserve">ReviewerRequired</t>
  </si>
  <si>
    <t xml:space="preserve">Tier-dependent; independent review optional for this Tier 2 exemplar</t>
  </si>
  <si>
    <t xml:space="preserve">DisclosureText</t>
  </si>
  <si>
    <t xml:space="preserve">Framework refused deterministic selection; authority selection is separately logged.</t>
  </si>
  <si>
    <t xml:space="preserve">Rights_Admissible</t>
  </si>
  <si>
    <t xml:space="preserve">SECTION 7: AUDIT FLAGS</t>
  </si>
  <si>
    <t xml:space="preserve">Active Flags (INVALID, canon-aligned):</t>
  </si>
  <si>
    <t xml:space="preserve">Active Flags (ESCALATE, canon-aligned):</t>
  </si>
  <si>
    <t xml:space="preserve">Active Flags (REVIEW, canon-aligned):</t>
  </si>
  <si>
    <t xml:space="preserve">Mitigation required</t>
  </si>
  <si>
    <t xml:space="preserve">Active Flags (REVIEW, tool-local):</t>
  </si>
  <si>
    <t xml:space="preserve">Active Flag Details (including TOOL_LOCAL if any):</t>
  </si>
  <si>
    <t xml:space="preserve">NONDECISIVE_GAP_REVIEW (TOOL_LOCAL REVIEW)</t>
  </si>
  <si>
    <t xml:space="preserve">Note: This review flag requires monitoring/reviewer attention but does not block worked-run publishability unless it triggers a canonical INVALID, ESCALATE, Refusal, or v10 sanity failure.</t>
  </si>
  <si>
    <t xml:space="preserve">SECTION 8: FIVE-SENTENCE PUBLIC RATIONALE (5SPR)</t>
  </si>
  <si>
    <t xml:space="preserve">1. CONTEXT:</t>
  </si>
  <si>
    <t xml:space="preserve">Organization evaluating remote work policy (Option A: implement remote; Option B: retain in-office). ORG context, Tier 2.</t>
  </si>
  <si>
    <t xml:space="preserve">2. OPTIONS:</t>
  </si>
  <si>
    <t xml:space="preserve">Option A: flexibility, reduced emissions, less cohesion. Option B: team bonds, facility costs, commute burden.</t>
  </si>
  <si>
    <t xml:space="preserve">3. CONSTRAINTS:</t>
  </si>
  <si>
    <t xml:space="preserve">Both pass NCRC (8 rights) and TRC (CVaR_A=0.0219, CVaR_B=0.0315 ≤ 0.20). WTSL-AIX voluntary.</t>
  </si>
  <si>
    <t xml:space="preserve">4. SELECTION:</t>
  </si>
  <si>
    <t xml:space="preserve">FrameworkVerdict = REFUSE_DETERMINISTIC_SELECTION because A and B remain admissible and the RLS lead is non-decisive. AuthoritySelectionRecord chooses Option A as a documented judgment call; this is not a unique framework-determined selection.</t>
  </si>
  <si>
    <t xml:space="preserve">5. MONITORING:</t>
  </si>
  <si>
    <t xml:space="preserve">NCAR quarterly. TOOL_LOCAL REVIEW flags: YES (NONDECISIVE_GAP_REVIEW). Reflect: review cohesion, retention, appeal outcomes, and drift indicators at the scheduled NCAR review date.</t>
  </si>
  <si>
    <t xml:space="preserve">Monitoring (snapshot):</t>
  </si>
  <si>
    <t xml:space="preserve">Run NCAR (Notice–Choose–Act–Reflect) monitoring on a 30–90 day cadence, review any REVIEW flags, collect outcome indicators, and record adjustments or mitigations in the PCC log.</t>
  </si>
  <si>
    <t xml:space="preserve">SECTION 9: RISK MITIGATION PLAN</t>
  </si>
  <si>
    <t xml:space="preserve">M1</t>
  </si>
  <si>
    <t xml:space="preserve">Hybrid work pandemic contingency</t>
  </si>
  <si>
    <t xml:space="preserve">Qualitative (Tier-2 exemplar: no numeric CVaR delta claimed)</t>
  </si>
  <si>
    <t xml:space="preserve">M2</t>
  </si>
  <si>
    <t xml:space="preserve">Infrastructure backup systems</t>
  </si>
  <si>
    <t xml:space="preserve">M3</t>
  </si>
  <si>
    <t xml:space="preserve">Community resilience fund</t>
  </si>
  <si>
    <t xml:space="preserve">M4</t>
  </si>
  <si>
    <t xml:space="preserve">Climate adaptation plan</t>
  </si>
  <si>
    <t xml:space="preserve">M5</t>
  </si>
  <si>
    <t xml:space="preserve">AI system audit/fallbacks</t>
  </si>
  <si>
    <t xml:space="preserve">TOTAL</t>
  </si>
  <si>
    <t xml:space="preserve">Tail-risk posture</t>
  </si>
  <si>
    <t xml:space="preserve">Audit_Flags_Active (canon-aligned unless TOOL_LOCAL; see Audit_Flags mapping note)</t>
  </si>
  <si>
    <t xml:space="preserve">SECTION 10: NCAR SCHEDULE</t>
  </si>
  <si>
    <t xml:space="preserve">Notice: Complete (this PCC)</t>
  </si>
  <si>
    <t xml:space="preserve">Choose: Complete - Authority selected Option A after FrameworkVerdict = REFUSE_DETERMINISTIC_SELECTION; admissible option set remained {A, B}.</t>
  </si>
  <si>
    <t xml:space="preserve">Authority selected Option A after non-deterministic framework verdict; not a unique cascade selection.</t>
  </si>
  <si>
    <t xml:space="preserve">Act: Begins upon sign-off</t>
  </si>
  <si>
    <t xml:space="preserve">Reflect: Scheduled</t>
  </si>
  <si>
    <t xml:space="preserve">SECTION 11: STEWARDSHIP COMPLIANCE (v11.4 Section 14.7, Appendix N)</t>
  </si>
  <si>
    <t xml:space="preserve">Stewardship_Profile</t>
  </si>
  <si>
    <t xml:space="preserve">N/A for this worked-run exemplar. No assisting system is acting in a stewardship-relevant role under RippleLogic Canon §14.7 / Appendix N.</t>
  </si>
  <si>
    <t xml:space="preserve">This does not narrow the Canon; stewardship may be triggered by role, capability, influence, authority, or deployment context, not merely by AI-agent MODE level.</t>
  </si>
  <si>
    <t xml:space="preserve">Conditional_Stewardship_Active</t>
  </si>
  <si>
    <t xml:space="preserve">FALSE</t>
  </si>
  <si>
    <t xml:space="preserve">For this worked-run exemplar, no assisting system is acting in a stewardship-relevant role. This is not a general rule that stewardship applies only to AI-agent MODE 2+ deployments.</t>
  </si>
  <si>
    <t xml:space="preserve">Stewardship_Note</t>
  </si>
  <si>
    <t xml:space="preserve">No stewardship authority is evaluated or claimed in this worked-run. Low or absent stewardship readiness does not reduce protection, rights, or moral-patient standing.</t>
  </si>
  <si>
    <t xml:space="preserve">SECTION 12: SCOPE COVERAGE (v11.4)</t>
  </si>
  <si>
    <t xml:space="preserve">ScopeCoverage.Mode</t>
  </si>
  <si>
    <t xml:space="preserve">FULL or REDUCED</t>
  </si>
  <si>
    <t xml:space="preserve">ScopeCoverage.ActiveScopes</t>
  </si>
  <si>
    <t xml:space="preserve">ScopeCoverage.OmittedScopes</t>
  </si>
  <si>
    <t xml:space="preserve">ScopeCoverage.OmissionRationale</t>
  </si>
  <si>
    <t xml:space="preserve">N/A (all scopes active)</t>
  </si>
  <si>
    <t xml:space="preserve">ScopeCoverage.BlindSpotStatement</t>
  </si>
  <si>
    <t xml:space="preserve">No known blind spots for Tier 2 ORG context. Biosphere and cosmic pathways are minimal for this decision scope.</t>
  </si>
  <si>
    <t xml:space="preserve">ScopeCoverage.EscalationTrigger</t>
  </si>
  <si>
    <t xml:space="preserve">Rerun if externalities beyond ORG scope are identified (e.g., supply chain, biosphere pathway).</t>
  </si>
  <si>
    <t xml:space="preserve">ADMISSIBILITY GUARD (v11.4 Section 2.2A):</t>
  </si>
  <si>
    <t xml:space="preserve">Reduced-scope mode SHALL NOT remove any non-maskable cells or required scope rows from NCRC, TRC, or Containment computation.</t>
  </si>
  <si>
    <t xml:space="preserve">SECTION 13: INSTANCE MAP (v11.4)</t>
  </si>
  <si>
    <t xml:space="preserve">Reference: RippleLogic v11.4 Section 2.2A + Appendix H</t>
  </si>
  <si>
    <t xml:space="preserve">Tier 2: REQUIRED when mapping triggers hold; otherwise recommended</t>
  </si>
  <si>
    <t xml:space="preserve">instance_id</t>
  </si>
  <si>
    <t xml:space="preserve">instance_label</t>
  </si>
  <si>
    <t xml:space="preserve">stakeholder_class</t>
  </si>
  <si>
    <t xml:space="preserve">role_context</t>
  </si>
  <si>
    <t xml:space="preserve">mapped_scopes</t>
  </si>
  <si>
    <t xml:space="preserve">mapping_rationale</t>
  </si>
  <si>
    <t xml:space="preserve">rights_exposure</t>
  </si>
  <si>
    <t xml:space="preserve">redundancy_method</t>
  </si>
  <si>
    <t xml:space="preserve">INST-01</t>
  </si>
  <si>
    <t xml:space="preserve">Office employees (current)</t>
  </si>
  <si>
    <t xml:space="preserve">Individual</t>
  </si>
  <si>
    <t xml:space="preserve">Employee, direct impact</t>
  </si>
  <si>
    <t xml:space="preserve">U1, U3</t>
  </si>
  <si>
    <t xml:space="preserve">Primary affected class; Self + Community scope</t>
  </si>
  <si>
    <t xml:space="preserve">LBTY (U1-D5), DIGN (U1-D3)</t>
  </si>
  <si>
    <t xml:space="preserve">N/A</t>
  </si>
  <si>
    <t xml:space="preserve">INST-02</t>
  </si>
  <si>
    <t xml:space="preserve">Employee households</t>
  </si>
  <si>
    <t xml:space="preserve">Household</t>
  </si>
  <si>
    <t xml:space="preserve">Family members, indirect</t>
  </si>
  <si>
    <t xml:space="preserve">Household scope: income, commute, family time</t>
  </si>
  <si>
    <t xml:space="preserve">NEED (U2-D1)</t>
  </si>
  <si>
    <t xml:space="preserve">INST-03</t>
  </si>
  <si>
    <t xml:space="preserve">Team/department cohesion</t>
  </si>
  <si>
    <t xml:space="preserve">Community</t>
  </si>
  <si>
    <t xml:space="preserve">Organizational community</t>
  </si>
  <si>
    <t xml:space="preserve">Community social fabric affected</t>
  </si>
  <si>
    <t xml:space="preserve">LBTY (U3-D3), DIGN (U3-D3)</t>
  </si>
  <si>
    <t xml:space="preserve">INST-04</t>
  </si>
  <si>
    <t xml:space="preserve">Organization operations</t>
  </si>
  <si>
    <t xml:space="preserve">Organization</t>
  </si>
  <si>
    <t xml:space="preserve">Employer, decision owner</t>
  </si>
  <si>
    <t xml:space="preserve">Organizational scope: costs, productivity</t>
  </si>
  <si>
    <t xml:space="preserve">PROC (U4-D5)</t>
  </si>
  <si>
    <t xml:space="preserve">INST-05</t>
  </si>
  <si>
    <t xml:space="preserve">Local service economy</t>
  </si>
  <si>
    <t xml:space="preserve">External community, indirect</t>
  </si>
  <si>
    <t xml:space="preserve">U3, U5</t>
  </si>
  <si>
    <t xml:space="preserve">Cross-scope: local businesses affected by commuter reduction</t>
  </si>
  <si>
    <t xml:space="preserve">NEED (U3-D1)</t>
  </si>
  <si>
    <t xml:space="preserve">EMERGENT_SCALE_JUSTIFICATION</t>
  </si>
  <si>
    <t xml:space="preserve">BRIDGE NOTE (v11.4 Section 5.2):</t>
  </si>
  <si>
    <t xml:space="preserve">InstanceMap specifies who is represented (stakeholders-in-context). Impact instances k∈𝓘(u,d,a) specify how impacts occur (pathways) within a Scope×Dimension cell. These are distinct objects and MUST NOT be conflated.</t>
  </si>
  <si>
    <t xml:space="preserve">SECTION 14: STAKEHOLDER COVERAGE INDEX (v11.4)</t>
  </si>
  <si>
    <t xml:space="preserve">Reference: RippleLogic v11.4 Section 5.0.1</t>
  </si>
  <si>
    <t xml:space="preserve">SCI.Level</t>
  </si>
  <si>
    <t xml:space="preserve">SCI-0: None | SCI-1: Key identified | SCI-2: Structured discovery | SCI-3: Independent challenge | SCI-4: Longitudinal tracking</t>
  </si>
  <si>
    <t xml:space="preserve">SCI.Justification</t>
  </si>
  <si>
    <t xml:space="preserve">SCI.NextRunUpgrade</t>
  </si>
  <si>
    <t xml:space="preserve">REQUIRED when SCI = tier minimum (anti-theater ratchet)</t>
  </si>
  <si>
    <t xml:space="preserve">SCI.TierMinimum</t>
  </si>
  <si>
    <t xml:space="preserve">SCI.Compliant</t>
  </si>
  <si>
    <t xml:space="preserve">SECTION 15: ACTIVE CELL DEFINITION (v11.4 Section 10.3)</t>
  </si>
  <si>
    <t xml:space="preserve">Active cell = any cell (u,d) with m(u,d)=1 for RLS aggregation,</t>
  </si>
  <si>
    <t xml:space="preserve">  plus all rights-covered cells (u,d)∈C_r regardless of mask,</t>
  </si>
  <si>
    <t xml:space="preserve">  plus all catastrophe cells (u,d)∈C_cat regardless of mask,</t>
  </si>
  <si>
    <t xml:space="preserve">  plus any cells required by minimum governance coverage rules for the run.</t>
  </si>
  <si>
    <t xml:space="preserve">Uncertainty MUST be estimated for all active cells (Tier 2+ per v11.4).</t>
  </si>
  <si>
    <t xml:space="preserve">SECTION 16: REACHBASIS + PLSS DISCLOSURE (WORKED-RUN COMPANION)</t>
  </si>
  <si>
    <t xml:space="preserve">ReachBasis.Fields</t>
  </si>
  <si>
    <t xml:space="preserve">Impact_Input!O:Q expose ReachBasisType, ReachBasisDenominator, and ReachBasisEstimator for each logged impact instance.</t>
  </si>
  <si>
    <t xml:space="preserve">ReachBasis.WorkedRunNote</t>
  </si>
  <si>
    <t xml:space="preserve">Tier-2 exemplar disclosure surface; values are recorded per impact instance and interpreted under the canon’s ReachBasis rules.</t>
  </si>
  <si>
    <t xml:space="preserve">PLSS.LSS_Declaration</t>
  </si>
  <si>
    <t xml:space="preserve">PLSS.Operator_Declaration</t>
  </si>
  <si>
    <t xml:space="preserve">PLSS.ScopePosture_Declaration</t>
  </si>
  <si>
    <t xml:space="preserve">PLSS.EscalationTriggerAssessment</t>
  </si>
  <si>
    <t xml:space="preserve">PLSS.FallbackDeclaration</t>
  </si>
  <si>
    <t xml:space="preserve">Workbook_Status</t>
  </si>
  <si>
    <t xml:space="preserve">Current worked-run exemplar companion aligned to RippleLogic v11.4 and SGP v6.4; useful for Tier-2 replay and audit illustration, but not a substitute for repository-level schemas, validators, reference calculators, semantic validators, ProofPack assets, empirical validation, verified reality-grounding, or the canonical DOCX artifacts.</t>
  </si>
  <si>
    <t xml:space="preserve">SECTION 17: PROVENANCE HARDENING (v9.x+1 review pass)</t>
  </si>
  <si>
    <t xml:space="preserve">Uncertainty.ReasonCode</t>
  </si>
  <si>
    <t xml:space="preserve">SIGMA_WORKED_RUN_CONSTANT_PROFILE</t>
  </si>
  <si>
    <t xml:space="preserve">Current exemplar uses the declared workbook-wide sigma profile; alternative methods that change decisiveness must be disclosed.</t>
  </si>
  <si>
    <t xml:space="preserve">Uncertainty.SourceNote</t>
  </si>
  <si>
    <t xml:space="preserve">See PCC!B27:B28 and canon §10.3 / Appendix H</t>
  </si>
  <si>
    <t xml:space="preserve">ScenarioProbabilities.ReasonCode</t>
  </si>
  <si>
    <t xml:space="preserve">SCENARIO_PRIOR_JUDGMENT</t>
  </si>
  <si>
    <t xml:space="preserve">Per-scenario reason codes and source notes are now logged on Scenario_Impacts.</t>
  </si>
  <si>
    <t xml:space="preserve">PLSS.ProminenceReasonCode</t>
  </si>
  <si>
    <t xml:space="preserve">Per-scope reason codes and source notes are now logged on PLSS_Local_Scope.</t>
  </si>
  <si>
    <t xml:space="preserve">TRC.ExtensionProfile</t>
  </si>
  <si>
    <t xml:space="preserve">BASE_ONLY (no separate governance-lock-in extension invoked in this worked run)</t>
  </si>
  <si>
    <t xml:space="preserve">If a governance-lock-in pathway becomes material, declare an explicit extension profile in the next run.</t>
  </si>
  <si>
    <t xml:space="preserve">e_k.RegistryRule</t>
  </si>
  <si>
    <t xml:space="preserve">DEFAULT_ONLY_IN_WORKED_RUN unless PCC justifies otherwise</t>
  </si>
  <si>
    <t xml:space="preserve">Per-instance e_k reason code/default-counterfactual fields are now logged on Impact_Input.</t>
  </si>
  <si>
    <t xml:space="preserve">e_k.MaterialityCheck</t>
  </si>
  <si>
    <t xml:space="preserve">UCI.E1_Method</t>
  </si>
  <si>
    <t xml:space="preserve">E1_FIXED_1_BY_DEFINITION</t>
  </si>
  <si>
    <t xml:space="preserve">Canon §0.5: E₁ := 1 by definition (Self).</t>
  </si>
  <si>
    <t xml:space="preserve">UCI.E7_Method</t>
  </si>
  <si>
    <t xml:space="preserve">E7_METHOD_FIXED_1_DEFAULT</t>
  </si>
  <si>
    <t xml:space="preserve">Canon §0.5: E₇ := 1 by default; no governed biosphere-equity instrument declared for this worked run.</t>
  </si>
  <si>
    <t xml:space="preserve">Sensitivity.MaterialParameterNote</t>
  </si>
  <si>
    <t xml:space="preserve">If non-default e_k, q_u, p(s), or uncertainty-method changes alter admissibility or selection, disclose that parameter as decision-material in the sensitivity bundle.</t>
  </si>
  <si>
    <t xml:space="preserve">SECTION 18: NORMATIVE INPUT REGISTER (v11.4 §14.3A / Appendix H)</t>
  </si>
  <si>
    <t xml:space="preserve">NormativeInputRegister.Present</t>
  </si>
  <si>
    <t xml:space="preserve">NormInputID</t>
  </si>
  <si>
    <t xml:space="preserve">NIR-2026-001</t>
  </si>
  <si>
    <t xml:space="preserve">InputType</t>
  </si>
  <si>
    <t xml:space="preserve">SCENARIO_PRIORS; PLSS_PROMINENCE; UNCERTAINTY_METHOD; DEFAULT_EK_PROFILE</t>
  </si>
  <si>
    <t xml:space="preserve">Materiality</t>
  </si>
  <si>
    <t xml:space="preserve">SELECTION_MATERIAL; ADMISSIBILITY_MATERIAL</t>
  </si>
  <si>
    <t xml:space="preserve">AffectedObjects</t>
  </si>
  <si>
    <t xml:space="preserve">p(s); q_u; Uncertainty.Method; e_k profile</t>
  </si>
  <si>
    <t xml:space="preserve">EvidenceBasisType</t>
  </si>
  <si>
    <t xml:space="preserve">GOVERNED_INTERPRETATION + ANALYST_JUDGMENT</t>
  </si>
  <si>
    <t xml:space="preserve">EvidenceReference</t>
  </si>
  <si>
    <t xml:space="preserve">RippleLogic v11.4 §10.2A, §14.3A, Appendix H; workbook Scenario_Impacts / PLSS_Local_Scope / CANON / PCC Section 17</t>
  </si>
  <si>
    <t xml:space="preserve">SensitivityNote</t>
  </si>
  <si>
    <t xml:space="preserve">If non-default e_k, q_u, p(s), or uncertainty-method changes alter admissibility or selection, disclose and rerun sensitivity review before claiming release readiness.</t>
  </si>
  <si>
    <t xml:space="preserve">StakeholderOrScopeTarget</t>
  </si>
  <si>
    <t xml:space="preserve">U1/U3/U4 direct stakeholders plus decision-material scenario prior and local-scope governance targets</t>
  </si>
  <si>
    <t xml:space="preserve">GovernedInterpretationBasis</t>
  </si>
  <si>
    <t xml:space="preserve">Canon-governed worked-run interpretation anchored in RippleLogic v11.4 §10.2A, §14.3A, and Appendix H</t>
  </si>
  <si>
    <t xml:space="preserve">PrecautionaryBasis</t>
  </si>
  <si>
    <t xml:space="preserve">Conservative disclosure + rerun if non-default e_k, q_u, p(s), or uncertainty-method changes alter admissibility or selection</t>
  </si>
  <si>
    <t xml:space="preserve">OptionSymmetryStatus</t>
  </si>
  <si>
    <t xml:space="preserve">Symmetric disclosure posture across Option A and Option B; option-specific differences remain in the source impact/scenario sheets</t>
  </si>
  <si>
    <t xml:space="preserve">AnalystReasonCode</t>
  </si>
  <si>
    <t xml:space="preserve">NIR_WORKED_RUN_DISCLOSURE_PROFILE</t>
  </si>
  <si>
    <t xml:space="preserve">ReviewerNote</t>
  </si>
  <si>
    <t xml:space="preserve">N/A (Tier 2 worked-run companion; external reviewer note optional unless separately reviewed)</t>
  </si>
  <si>
    <t xml:space="preserve">SECTION 23: EXECUTION STABILITY RECORD (v11.4 Appendix T)</t>
  </si>
  <si>
    <t xml:space="preserve">ESD_Record_ID</t>
  </si>
  <si>
    <t xml:space="preserve">ESD-ORG-2026-001-A</t>
  </si>
  <si>
    <t xml:space="preserve">SECTION 26: v11.4 EVIDENCE / SGP SPLIT / LEGITIMACY DISCLOSURES</t>
  </si>
  <si>
    <t xml:space="preserve">Evidence_Status_Surface</t>
  </si>
  <si>
    <t xml:space="preserve">ACTIVE</t>
  </si>
  <si>
    <t xml:space="preserve">Evidence_Status_Tokens sheet populated and sanity-checked</t>
  </si>
  <si>
    <t xml:space="preserve">Evidence_Status_Default</t>
  </si>
  <si>
    <t xml:space="preserve">ESTIMATED / EXPERT_JUDGMENT / UNVALIDATED where direct measurement is absent</t>
  </si>
  <si>
    <t xml:space="preserve">No input upgraded to measured without source</t>
  </si>
  <si>
    <t xml:space="preserve">MPS_Result</t>
  </si>
  <si>
    <t xml:space="preserve">From SGP_Split_Guardrail!D11</t>
  </si>
  <si>
    <t xml:space="preserve">GPR_Result</t>
  </si>
  <si>
    <t xml:space="preserve">From SGP_Split_Guardrail!D12</t>
  </si>
  <si>
    <t xml:space="preserve">SPR_Result</t>
  </si>
  <si>
    <t xml:space="preserve">From SGP_Split_Guardrail!D13</t>
  </si>
  <si>
    <t xml:space="preserve">SGP_Non_Reduction_Guard</t>
  </si>
  <si>
    <t xml:space="preserve">Low GPR/SPR cannot reduce MPS or Human Plateau protections</t>
  </si>
  <si>
    <t xml:space="preserve">Boundary_Risk_Surface</t>
  </si>
  <si>
    <t xml:space="preserve">Boundary_Risk_Register sheet linked to gate-swing formula flags</t>
  </si>
  <si>
    <t xml:space="preserve">Compact_Profile_Surface</t>
  </si>
  <si>
    <t xml:space="preserve">Compact_Profiles sheet present and formula-status checked</t>
  </si>
  <si>
    <t xml:space="preserve">Public_Legitimacy_Boundary</t>
  </si>
  <si>
    <t xml:space="preserve">RippleLogic structures reasoning but does not confer legal/democratic/institutional authority</t>
  </si>
  <si>
    <t xml:space="preserve">Admissibility_State_Before_ESD</t>
  </si>
  <si>
    <t xml:space="preserve">Selectable only if RF/NCRC and TRC/Containment pass</t>
  </si>
  <si>
    <t xml:space="preserve">Evidence_Basis</t>
  </si>
  <si>
    <t xml:space="preserve">Worked-run exemplar evidence, not production validation</t>
  </si>
  <si>
    <t xml:space="preserve">Regime_Token</t>
  </si>
  <si>
    <t xml:space="preserve">Monitoring_or_Staging_Plan</t>
  </si>
  <si>
    <t xml:space="preserve">Required for execution-stability claim</t>
  </si>
  <si>
    <t xml:space="preserve">Rollback_or_Repair_Path</t>
  </si>
  <si>
    <t xml:space="preserve">Policy rollback / revision / review cycle</t>
  </si>
  <si>
    <t xml:space="preserve">SECTION 19: v11.4 MEASUREMENT-MATURITY DISCLOSURES</t>
  </si>
  <si>
    <t xml:space="preserve">UCI_Measurement_Readiness</t>
  </si>
  <si>
    <t xml:space="preserve">UCI-M1_PROVISIONAL</t>
  </si>
  <si>
    <t xml:space="preserve">Kernel_Use_Posture</t>
  </si>
  <si>
    <t xml:space="preserve">PLSS_Escalation_Register</t>
  </si>
  <si>
    <t xml:space="preserve">Biological_Evaluation_Maturity</t>
  </si>
  <si>
    <t xml:space="preserve">NA_NOT_INVOKED — human-only worked-run exemplar; biological SGP evidence not invoked.</t>
  </si>
  <si>
    <t xml:space="preserve">Deployment_Context_Profile</t>
  </si>
  <si>
    <t xml:space="preserve">Maturity_Claim_Boundary</t>
  </si>
  <si>
    <t xml:space="preserve">Provisional measurement surfaces disclosed; no empirical validation, ProofPack, Tier 4, cross-domain UCI, validated kernel, or biological measurement-completeness claim.</t>
  </si>
  <si>
    <t xml:space="preserve">SECTION 24: BOUNDARY AND FALSE-PRECISION RISK REGISTER</t>
  </si>
  <si>
    <t xml:space="preserve">Boundary_Gaming_Risk</t>
  </si>
  <si>
    <t xml:space="preserve">False_Precision_Risk</t>
  </si>
  <si>
    <t xml:space="preserve">Gate_Swing_Cell_Flag</t>
  </si>
  <si>
    <t xml:space="preserve">CHECK_REQUIRED_IF_MATERIAL</t>
  </si>
  <si>
    <t xml:space="preserve">Subgroup_Definition_Risk</t>
  </si>
  <si>
    <t xml:space="preserve">Scenario_Probability_Risk</t>
  </si>
  <si>
    <t xml:space="preserve">Threshold_Laundering_Risk</t>
  </si>
  <si>
    <t xml:space="preserve">Reviewer_Disagreement_Level</t>
  </si>
  <si>
    <t xml:space="preserve">DISCLOSE_IF_MATERIAL</t>
  </si>
  <si>
    <t xml:space="preserve">Boundary_Risk_Claim_Boundary</t>
  </si>
  <si>
    <t xml:space="preserve">Disclosure extension only; does not alter cascade or create ProofPack/Tier4/empirical-validation claim.</t>
  </si>
  <si>
    <t xml:space="preserve">SECTION 25: v11.4 EVIDENCE, LEGITIMACY, AND SGP SPLIT DISCLOSURES</t>
  </si>
  <si>
    <t xml:space="preserve">Evidence_Status_Token_Register</t>
  </si>
  <si>
    <t xml:space="preserve">DISCLOSE_IF_PUBLIC_GOVERNANCE</t>
  </si>
  <si>
    <t xml:space="preserve">Canon Appendix Y / Compact_Profiles</t>
  </si>
  <si>
    <t xml:space="preserve">Compact_Profile_Used</t>
  </si>
  <si>
    <t xml:space="preserve">NONE_OR_DECLARED</t>
  </si>
  <si>
    <t xml:space="preserve">SGP_Patienthood_Participation_Split</t>
  </si>
  <si>
    <t xml:space="preserve">Validation_Roadmap_Status</t>
  </si>
  <si>
    <t xml:space="preserve">ROADMAP_ONLY_NOT_VALIDATION</t>
  </si>
  <si>
    <t xml:space="preserve">v11.4_Claim_Boundary</t>
  </si>
  <si>
    <t xml:space="preserve">Disclosure extension only; does not alter cascade or create ProofPack/Tier4/empirical-validation/machine-verifiable ecosystem-complete claim.</t>
  </si>
  <si>
    <t xml:space="preserve">SECTION 26: REFERENCE STRUCTURE RECORD</t>
  </si>
  <si>
    <t xml:space="preserve">ReferenceStructureRecord_ID</t>
  </si>
  <si>
    <t xml:space="preserve">ReferenceStructureRecord_Status</t>
  </si>
  <si>
    <t xml:space="preserve">Reference_Object</t>
  </si>
  <si>
    <t xml:space="preserve">ReferenceStructureRecord!E2</t>
  </si>
  <si>
    <t xml:space="preserve">Evidence_Status_Token</t>
  </si>
  <si>
    <t xml:space="preserve">ReferenceStructureRecord!Q2</t>
  </si>
  <si>
    <t xml:space="preserve">Falsification_Condition</t>
  </si>
  <si>
    <t xml:space="preserve">ReferenceStructureRecord!S2</t>
  </si>
  <si>
    <t xml:space="preserve">Authority_Boundary</t>
  </si>
  <si>
    <t xml:space="preserve">ReferenceStructureRecord!U2</t>
  </si>
  <si>
    <t xml:space="preserve">RSP_Claim_Boundary</t>
  </si>
  <si>
    <t xml:space="preserve">ReferenceStructureRecord strengthens evidence and auditability. It does not alter the canonical cascade, create a sixth gate, or create empirical-validation, ProofPack, Tier 4, legal-compliance, deployment-readiness, or machine-verifiable-ecosystem claims.</t>
  </si>
  <si>
    <t xml:space="preserve">RealityGrounding_vs_EvidenceStatus_Disclosure</t>
  </si>
  <si>
    <t xml:space="preserve">RealityGroundingStatus (run-level claim posture) and Evidence_Status_Token (per-input evidence grade) are distinct axes; ASSUMPTION_BOUND run posture with ESTIMATED dominant inputs is consistent for this exemplar.</t>
  </si>
  <si>
    <t xml:space="preserve">Reality_Grounding!A27:D27</t>
  </si>
  <si>
    <t xml:space="preserve">SENSITIVITY ANALYSIS</t>
  </si>
  <si>
    <t xml:space="preserve">Module Status:</t>
  </si>
  <si>
    <t xml:space="preserve">PERFORMED</t>
  </si>
  <si>
    <t xml:space="preserve">Tier Requirement:</t>
  </si>
  <si>
    <t xml:space="preserve">Small sensitivity tests executed (weights + scenario probabilities).</t>
  </si>
  <si>
    <t xml:space="preserve">Audit Flag:</t>
  </si>
  <si>
    <t xml:space="preserve">PERTURBATION TESTS</t>
  </si>
  <si>
    <t xml:space="preserve">Test</t>
  </si>
  <si>
    <t xml:space="preserve">Change</t>
  </si>
  <si>
    <t xml:space="preserve">Metric</t>
  </si>
  <si>
    <t xml:space="preserve">Result</t>
  </si>
  <si>
    <t xml:space="preserve">Selection stable?</t>
  </si>
  <si>
    <t xml:space="preserve">SENS-01</t>
  </si>
  <si>
    <t xml:space="preserve">Weights: D1 +10% (renorm)</t>
  </si>
  <si>
    <t xml:space="preserve">RLS higher option (non-decisive-aware)</t>
  </si>
  <si>
    <t xml:space="preserve">RLS recomputed from I_prop with perturbed dimension weights</t>
  </si>
  <si>
    <t xml:space="preserve">SENS-02</t>
  </si>
  <si>
    <t xml:space="preserve">Weights: D7 +10% (renorm)</t>
  </si>
  <si>
    <t xml:space="preserve">SENS-03</t>
  </si>
  <si>
    <t xml:space="preserve">Weights: D3&amp;D5 +10% (renorm)</t>
  </si>
  <si>
    <t xml:space="preserve">SENS-04</t>
  </si>
  <si>
    <t xml:space="preserve">Scenario p stress: worst-loss scenarios +20% (renorm)</t>
  </si>
  <si>
    <t xml:space="preserve">TRC status (A,B)</t>
  </si>
  <si>
    <t xml:space="preserve">CVaR recomputed with stressed probabilities; compare to τ_TRC</t>
  </si>
  <si>
    <t xml:space="preserve">Baseline</t>
  </si>
  <si>
    <t xml:space="preserve">Preferred</t>
  </si>
  <si>
    <t xml:space="preserve">Sensitivity analysis optional. Selection stability assumed based on margin:</t>
  </si>
  <si>
    <t xml:space="preserve">CVaR_A (0.0219) and CVaR_B (0.0315) are both &lt;&lt; τ_TRC (0.20)</t>
  </si>
  <si>
    <t xml:space="preserve">DeterministicSelectionEffect</t>
  </si>
  <si>
    <t xml:space="preserve">NO - FrameworkVerdict remains REFUSE_DETERMINISTIC_SELECTION</t>
  </si>
  <si>
    <t xml:space="preserve">Base v_d</t>
  </si>
  <si>
    <t xml:space="preserve">Factors (SENS-01)</t>
  </si>
  <si>
    <t xml:space="preserve">v_d* (SENS-01)</t>
  </si>
  <si>
    <t xml:space="preserve">Factors (SENS-02)</t>
  </si>
  <si>
    <t xml:space="preserve">Selection stability: computed in this exemplar via the SENS-01..SENS-04 perturbations below (see Summary).</t>
  </si>
  <si>
    <t xml:space="preserve">v_d* (SENS-02)</t>
  </si>
  <si>
    <t xml:space="preserve">Factors (SENS-03)</t>
  </si>
  <si>
    <t xml:space="preserve">4. IMPACT MAGNITUDE PERTURBATION (±20%)</t>
  </si>
  <si>
    <t xml:space="preserve">v_d* (SENS-03)</t>
  </si>
  <si>
    <t xml:space="preserve">Key instances: I03 (flexibility), I01 (isolation)</t>
  </si>
  <si>
    <t xml:space="preserve">Additional tests: Not performed for this run</t>
  </si>
  <si>
    <t xml:space="preserve">Union w_u</t>
  </si>
  <si>
    <t xml:space="preserve">5. ROBUSTNESS CLASSIFICATION</t>
  </si>
  <si>
    <t xml:space="preserve">Weight sensitivity results</t>
  </si>
  <si>
    <t xml:space="preserve">SENS-01 Preferred</t>
  </si>
  <si>
    <t xml:space="preserve">SENS-02 Preferred</t>
  </si>
  <si>
    <t xml:space="preserve">SENS-03 Preferred</t>
  </si>
  <si>
    <t xml:space="preserve">Status note: PERFORMED for this Tier‑2 exemplar (weight sensitivity + CVaR stress checks). Tier‑3 deployments may expand the test set and increase rigor.</t>
  </si>
  <si>
    <t xml:space="preserve">p_base</t>
  </si>
  <si>
    <t xml:space="preserve">Factor_up</t>
  </si>
  <si>
    <t xml:space="preserve">p_stress_up</t>
  </si>
  <si>
    <t xml:space="preserve">Factor_down</t>
  </si>
  <si>
    <t xml:space="preserve">p_stress_down</t>
  </si>
  <si>
    <t xml:space="preserve">CVaR recompute (p stress UP)</t>
  </si>
  <si>
    <t xml:space="preserve">p_stress</t>
  </si>
  <si>
    <t xml:space="preserve">β</t>
  </si>
  <si>
    <t xml:space="preserve">CVaR_A_up</t>
  </si>
  <si>
    <t xml:space="preserve">Status_A_up</t>
  </si>
  <si>
    <t xml:space="preserve">TRC stress UP status</t>
  </si>
  <si>
    <t xml:space="preserve">TRC stress DOWN status</t>
  </si>
  <si>
    <t xml:space="preserve">CVaR recompute for Option B (p stress UP)</t>
  </si>
  <si>
    <t xml:space="preserve">CVaR_B_up</t>
  </si>
  <si>
    <t xml:space="preserve">Status_B_up</t>
  </si>
  <si>
    <t xml:space="preserve">CVaR recompute (p stress DOWN)</t>
  </si>
  <si>
    <t xml:space="preserve">CVaR_A_down</t>
  </si>
  <si>
    <t xml:space="preserve">Status_A_down</t>
  </si>
  <si>
    <t xml:space="preserve">Option B (p stress DOWN)</t>
  </si>
  <si>
    <t xml:space="preserve">CVaR_B_down</t>
  </si>
  <si>
    <t xml:space="preserve">Status_B_down</t>
  </si>
  <si>
    <t xml:space="preserve">SUBGROUP ANALYSIS - WORST-OFF DOCUMENTATION</t>
  </si>
  <si>
    <t xml:space="preserve">Binding note: Any worst-off values documented in this sheet SHALL either (a) be entered into Subgroup_Overrides for computational use, or (b) be removed from this narrative sheet if the run relies only on the conservative fallback.</t>
  </si>
  <si>
    <t xml:space="preserve">Reference: RippleLogic v11.4 Section 7.3 - Tier 2 requires subgroup enumeration</t>
  </si>
  <si>
    <t xml:space="preserve">OPTION A: NEGATIVE IMPACT CELLS</t>
  </si>
  <si>
    <t xml:space="preserve">Cell: U3-D3 (Community-Social) | Agg I_prop: -0.069</t>
  </si>
  <si>
    <t xml:space="preserve">Rights: LBTY (-0.65), DIGN (-0.55)</t>
  </si>
  <si>
    <t xml:space="preserve">Subgroup</t>
  </si>
  <si>
    <t xml:space="preserve">I_prop</t>
  </si>
  <si>
    <t xml:space="preserve">General population</t>
  </si>
  <si>
    <t xml:space="preserve">Elderly (65+)</t>
  </si>
  <si>
    <t xml:space="preserve">Higher isolation risk</t>
  </si>
  <si>
    <t xml:space="preserve">Single-person HH</t>
  </si>
  <si>
    <t xml:space="preserve">No household buffer</t>
  </si>
  <si>
    <t xml:space="preserve">New employees (&lt;1yr)</t>
  </si>
  <si>
    <t xml:space="preserve">Harder to integrate</t>
  </si>
  <si>
    <t xml:space="preserve">WORST-OFF</t>
  </si>
  <si>
    <t xml:space="preserve">New employees</t>
  </si>
  <si>
    <t xml:space="preserve">Threshold checks: LBTY -0.15 &gt; -0.65 ✓ | DIGN -0.15 &gt; -0.55 ✓</t>
  </si>
  <si>
    <t xml:space="preserve">Cell: U4-D1 (Org-Material) | Agg I_prop: -0.176</t>
  </si>
  <si>
    <t xml:space="preserve">Rights: NEED (-0.50)</t>
  </si>
  <si>
    <t xml:space="preserve">Worst-off: Facilities dept at -0.30</t>
  </si>
  <si>
    <t xml:space="preserve">Threshold: -0.30 &gt; -0.50 ✓</t>
  </si>
  <si>
    <t xml:space="preserve">Cell: U3-D1 (Community-Material) | Agg I_prop: -0.075</t>
  </si>
  <si>
    <t xml:space="preserve">Worst-off: Local restaurants at -0.20</t>
  </si>
  <si>
    <t xml:space="preserve">Threshold: -0.20 &gt; -0.50 ✓</t>
  </si>
  <si>
    <t xml:space="preserve">OPTION B: NEGATIVE IMPACT CELLS</t>
  </si>
  <si>
    <t xml:space="preserve">Cell: U1-D5 (Self-Agency) | Agg I_prop: -0.073</t>
  </si>
  <si>
    <t xml:space="preserve">Rights: LBTY, DIGN, INFO</t>
  </si>
  <si>
    <t xml:space="preserve">Worst-off: Parents w/ young children at -0.15</t>
  </si>
  <si>
    <t xml:space="preserve">All thresholds pass ✓</t>
  </si>
  <si>
    <t xml:space="preserve">Cell: U2-D1 (Household-Material) | Agg: -0.063</t>
  </si>
  <si>
    <t xml:space="preserve">Worst-off: Long commuters at -0.12 | NEED ✓</t>
  </si>
  <si>
    <t xml:space="preserve">Cell: U7-D7 (Biosphere-Environ) | Agg: -0.053</t>
  </si>
  <si>
    <t xml:space="preserve">Worst-off: Urban air quality at -0.08 | ECOL ✓</t>
  </si>
  <si>
    <t xml:space="preserve">SUMMARY</t>
  </si>
  <si>
    <t xml:space="preserve">All worst-off impacts well above thresholds</t>
  </si>
  <si>
    <t xml:space="preserve">No near-misses identified</t>
  </si>
  <si>
    <t xml:space="preserve">NCRC outcome ROBUST with subgroup analysis</t>
  </si>
  <si>
    <t xml:space="preserve">analysis_done (computed)</t>
  </si>
  <si>
    <t xml:space="preserve">SUBGROUP OVERRIDES TABLE</t>
  </si>
  <si>
    <t xml:space="preserve">Policy: Conservative Bound (γ_subgroup = 1.5)</t>
  </si>
  <si>
    <t xml:space="preserve">I_rights = max(-1, γ × I_prop) when no override</t>
  </si>
  <si>
    <t xml:space="preserve">Applies only for NCRC, not RLS</t>
  </si>
  <si>
    <t xml:space="preserve">γ_subgroup:</t>
  </si>
  <si>
    <t xml:space="preserve">OVERRIDE DATA TABLE</t>
  </si>
  <si>
    <t xml:space="preserve">Override_ID</t>
  </si>
  <si>
    <t xml:space="preserve">Option</t>
  </si>
  <si>
    <t xml:space="preserve">Rights_Cell</t>
  </si>
  <si>
    <t xml:space="preserve">Worst_Off_Impact</t>
  </si>
  <si>
    <t xml:space="preserve">Override_Key</t>
  </si>
  <si>
    <t xml:space="preserve">COMPUTED STATUS</t>
  </si>
  <si>
    <t xml:space="preserve">Data range:</t>
  </si>
  <si>
    <t xml:space="preserve">F11:F100</t>
  </si>
  <si>
    <t xml:space="preserve">Entry formula:</t>
  </si>
  <si>
    <t xml:space="preserve">Valid entries:</t>
  </si>
  <si>
    <t xml:space="preserve">OVERRIDES_TABLE_EMPTY:</t>
  </si>
  <si>
    <t xml:space="preserve">SUBGROUP_LIMITATION (Audit_Flags):</t>
  </si>
  <si>
    <t xml:space="preserve">MITIGATION (Tier 2)</t>
  </si>
  <si>
    <t xml:space="preserve">• Conservative bound applied by default when no explicit override is recorded</t>
  </si>
  <si>
    <t xml:space="preserve">• REVIEW flag clears when override entries or subgroup analysis are present</t>
  </si>
  <si>
    <t xml:space="preserve">• Documented worst-off values in Subgroup_Analysis are bound through explicit override rows below</t>
  </si>
  <si>
    <t xml:space="preserve">OVR-01</t>
  </si>
  <si>
    <t xml:space="preserve">Subgroup_Analysis: new employees</t>
  </si>
  <si>
    <t xml:space="preserve">OVR-02</t>
  </si>
  <si>
    <t xml:space="preserve">Subgroup_Analysis: facilities dept</t>
  </si>
  <si>
    <t xml:space="preserve">OVR-03</t>
  </si>
  <si>
    <t xml:space="preserve">Subgroup_Analysis: local restaurants</t>
  </si>
  <si>
    <t xml:space="preserve">OVR-04</t>
  </si>
  <si>
    <t xml:space="preserve">Subgroup_Analysis: parents w/ young children</t>
  </si>
  <si>
    <t xml:space="preserve">OVR-05</t>
  </si>
  <si>
    <t xml:space="preserve">Subgroup_Analysis: long commuters</t>
  </si>
  <si>
    <t xml:space="preserve">OVR-06</t>
  </si>
  <si>
    <t xml:space="preserve">Subgroup_Analysis: urban air quality</t>
  </si>
  <si>
    <t xml:space="preserve">SGP INPUT INTERFACE</t>
  </si>
  <si>
    <t xml:space="preserve">Reference: RippleLogic v11.4 Appendix G - Sentience Gradient Protocol Interface</t>
  </si>
  <si>
    <t xml:space="preserve">SGP Version: v6.0</t>
  </si>
  <si>
    <t xml:space="preserve">HUMAN PLATEAU RULE (Non-Overridable)</t>
  </si>
  <si>
    <t xml:space="preserve">For any human person H: SG_norm(H) := 1.0</t>
  </si>
  <si>
    <t xml:space="preserve">This is independent of measurement, disability, observability</t>
  </si>
  <si>
    <t xml:space="preserve">MUST NOT be weakened by any weighting scheme</t>
  </si>
  <si>
    <t xml:space="preserve">STAKEHOLDER SG_norm / SG_patient_norm VALUES</t>
  </si>
  <si>
    <t xml:space="preserve">Stakeholder</t>
  </si>
  <si>
    <t xml:space="preserve">Substrate</t>
  </si>
  <si>
    <t xml:space="preserve">SG_norm / SG_patient_norm</t>
  </si>
  <si>
    <t xml:space="preserve">Basis</t>
  </si>
  <si>
    <t xml:space="preserve">SK01</t>
  </si>
  <si>
    <t xml:space="preserve">Employees (all)</t>
  </si>
  <si>
    <t xml:space="preserve">Human</t>
  </si>
  <si>
    <t xml:space="preserve">Plateau Rule</t>
  </si>
  <si>
    <t xml:space="preserve">SK02</t>
  </si>
  <si>
    <t xml:space="preserve">Household members</t>
  </si>
  <si>
    <t xml:space="preserve">SK03</t>
  </si>
  <si>
    <t xml:space="preserve">Community members</t>
  </si>
  <si>
    <t xml:space="preserve">SK04</t>
  </si>
  <si>
    <t xml:space="preserve">Organization staff</t>
  </si>
  <si>
    <t xml:space="preserve">SK05</t>
  </si>
  <si>
    <t xml:space="preserve">Policy stakeholders</t>
  </si>
  <si>
    <t xml:space="preserve">SK06</t>
  </si>
  <si>
    <t xml:space="preserve">Humanity (aggregate)</t>
  </si>
  <si>
    <t xml:space="preserve">BIOSPHERE NOTE</t>
  </si>
  <si>
    <t xml:space="preserve">U7 impacts = environmental integrity, not direct animal welfare</t>
  </si>
  <si>
    <t xml:space="preserve">If direct animal welfare at stake, apply SGP evidence tiers</t>
  </si>
  <si>
    <t xml:space="preserve">SGP INTEGRATION DOCUMENTATION</t>
  </si>
  <si>
    <t xml:space="preserve">Reference: RippleLogic v11.4 Appendix G</t>
  </si>
  <si>
    <t xml:space="preserve">Reference: SGP v6.4</t>
  </si>
  <si>
    <t xml:space="preserve">HUMAN PLATEAU RULE CONFIRMATION</t>
  </si>
  <si>
    <t xml:space="preserve">┌────────────────────────────────────────────────────────┐</t>
  </si>
  <si>
    <t xml:space="preserve">│ All stakeholders in this decision are human persons.  │</t>
  </si>
  <si>
    <t xml:space="preserve">│ Therefore: SG_norm(H) = SG_patient_norm(H) = 1.0. │</t>
  </si>
  <si>
    <t xml:space="preserve">│ The Human Plateau Rule has been applied without       │</t>
  </si>
  <si>
    <t xml:space="preserve">│ exception. No sentience multiplier has reduced any    │</t>
  </si>
  <si>
    <t xml:space="preserve">│ human stakeholder's impact weight.                    │</t>
  </si>
  <si>
    <t xml:space="preserve">└────────────────────────────────────────────────────────┘</t>
  </si>
  <si>
    <t xml:space="preserve">SGP MISINTERPRETATION GUARD COMPLIANCE</t>
  </si>
  <si>
    <t xml:space="preserve">Prohibited Inference</t>
  </si>
  <si>
    <t xml:space="preserve">Linguistic fluency → sentience</t>
  </si>
  <si>
    <t xml:space="preserve">NOT APPLIED ✓</t>
  </si>
  <si>
    <t xml:space="preserve">Self-report → sufficient evidence</t>
  </si>
  <si>
    <t xml:space="preserve">Intelligence → moral status</t>
  </si>
  <si>
    <t xml:space="preserve">Sentience → governance authority</t>
  </si>
  <si>
    <t xml:space="preserve">Precaution → attribution</t>
  </si>
  <si>
    <t xml:space="preserve">Low SGP → reduced human protections</t>
  </si>
  <si>
    <t xml:space="preserve">PROHIBITED &amp; CONFIRMED ✓</t>
  </si>
  <si>
    <t xml:space="preserve">STREAM-SEPARATION GUARDRAIL</t>
  </si>
  <si>
    <t xml:space="preserve">SGP outputs may inform welfare-stream weighting only where Canon v11.4 permits; they MUST NOT alter NCRC, TRC, Containment, lawful authority, or governance-role requirements.</t>
  </si>
  <si>
    <t xml:space="preserve">IMPACT INSTANCE VERIFICATION</t>
  </si>
  <si>
    <t xml:space="preserve">All 14 impact instances (I01-I14) use SG_norm/SG_patient_norm = 1.0 ✓</t>
  </si>
  <si>
    <t xml:space="preserve">ATTESTATION</t>
  </si>
  <si>
    <t xml:space="preserve">☑ Human Plateau Rule applied to all human stakeholders</t>
  </si>
  <si>
    <t xml:space="preserve">☑ No SGP output weakened NCRC protections</t>
  </si>
  <si>
    <t xml:space="preserve">☑ No sentience multiplier reduced human welfare weight</t>
  </si>
  <si>
    <t xml:space="preserve">☑ SGP Misinterpretation Guard principles followed</t>
  </si>
  <si>
    <t xml:space="preserve">Evaluator: ___________________________ Date: ___________</t>
  </si>
  <si>
    <t xml:space="preserve">RIPPLE ALIGNERS SHEET - USER GUIDE (v4.4 release-synced)</t>
  </si>
  <si>
    <t xml:space="preserve">IMPORTANT DISCLOSURE</t>
  </si>
  <si>
    <t xml:space="preserve">Current workbook selection logic compares Option A vs Option B only. For three or more substantive options, extend the workbook logic or run sequential pairwise/fresh evaluations with documented rationale.</t>
  </si>
  <si>
    <t xml:space="preserve">QUICK START</t>
  </si>
  <si>
    <t xml:space="preserve">1. Config: Set tier level, context type, and Weight Profile</t>
  </si>
  <si>
    <t xml:space="preserve">2. PLSS_Local_Scope: If using local-scope mode, enter q_u values and review floor-preserving weights</t>
  </si>
  <si>
    <t xml:space="preserve">3. Impact_Input: Enter all causal pathways (μ, r, ℓ, c, t, e, s)</t>
  </si>
  <si>
    <t xml:space="preserve">4. Review I_prop: Verify computed impact matrix</t>
  </si>
  <si>
    <t xml:space="preserve">5. Check Rights_Floor / NCRC: Rights Floor must pass; any NCRC breach blocks downstream selection</t>
  </si>
  <si>
    <t xml:space="preserve">6. Check TRC: Tail risk must be bounded before residual scoring</t>
  </si>
  <si>
    <t xml:space="preserve">7. Check CSV: Containment and Structural Viability must pass, pass with controls, or route to redesign/escalation/emergency-provisional handling</t>
  </si>
  <si>
    <t xml:space="preserve">8. If TRC or CSV fails: follow fallback, redesign, escalation, or emergency-provisional procedure; do not force RLS</t>
  </si>
  <si>
    <t xml:space="preserve">9. Dashboard: Review final recommendation only after RG, RF/NCRC, TRC, and CSV are complete</t>
  </si>
  <si>
    <t xml:space="preserve">10. PCC: Complete all sections for audit trail, including RG/RSG, RF/NCRC, TRC, CSV, PLSS fields, scenario-probability provenance, uncertainty method disclosure, maturity fields, and non-default reason codes</t>
  </si>
  <si>
    <t xml:space="preserve">SHEET INDEX</t>
  </si>
  <si>
    <t xml:space="preserve">Release_Notes</t>
  </si>
  <si>
    <t xml:space="preserve">Release posture and workbook status</t>
  </si>
  <si>
    <t xml:space="preserve">Version pins, constants, and canonical thresholds</t>
  </si>
  <si>
    <t xml:space="preserve">Core workbook gate checks</t>
  </si>
  <si>
    <t xml:space="preserve">Config</t>
  </si>
  <si>
    <t xml:space="preserve">Global settings</t>
  </si>
  <si>
    <t xml:space="preserve">Parameters</t>
  </si>
  <si>
    <t xml:space="preserve">Core parameters and notes</t>
  </si>
  <si>
    <t xml:space="preserve">PLSS_Local_Scope</t>
  </si>
  <si>
    <t xml:space="preserve">Local-scope weighting helper</t>
  </si>
  <si>
    <t xml:space="preserve">Rights_Coverage</t>
  </si>
  <si>
    <t xml:space="preserve">Canonical rights coverage</t>
  </si>
  <si>
    <t xml:space="preserve">Rights_Coverage_View</t>
  </si>
  <si>
    <t xml:space="preserve">Rights coverage view</t>
  </si>
  <si>
    <t xml:space="preserve">C_cat</t>
  </si>
  <si>
    <t xml:space="preserve">Catastrophe cells for TRC</t>
  </si>
  <si>
    <t xml:space="preserve">WTSL_Categories</t>
  </si>
  <si>
    <t xml:space="preserve">Tail category definitions</t>
  </si>
  <si>
    <t xml:space="preserve">Impact_Input</t>
  </si>
  <si>
    <t xml:space="preserve">Impact entry surface</t>
  </si>
  <si>
    <t xml:space="preserve">Scenario_Impacts</t>
  </si>
  <si>
    <t xml:space="preserve">Scenario-conditioned losses</t>
  </si>
  <si>
    <t xml:space="preserve">Computed impact matrix</t>
  </si>
  <si>
    <t xml:space="preserve">Reality_Grounding</t>
  </si>
  <si>
    <t xml:space="preserve">Level 1 claim-authority precondition</t>
  </si>
  <si>
    <t xml:space="preserve">Rights_Floor</t>
  </si>
  <si>
    <t xml:space="preserve">Level 2 public Rights Floor surface</t>
  </si>
  <si>
    <t xml:space="preserve">Formal RF/NCRC predicate and rights breach logic</t>
  </si>
  <si>
    <t xml:space="preserve">TRC</t>
  </si>
  <si>
    <t xml:space="preserve">Level 3 tail-risk gate</t>
  </si>
  <si>
    <t xml:space="preserve">Level 4 Containment and Structural Viability gate</t>
  </si>
  <si>
    <t xml:space="preserve">Legacy/diagnostic containment surface, now governed under CSV</t>
  </si>
  <si>
    <t xml:space="preserve">CSV execution viability diagnostic surface</t>
  </si>
  <si>
    <t xml:space="preserve">RLS</t>
  </si>
  <si>
    <t xml:space="preserve">Level 5 residual welfare score</t>
  </si>
  <si>
    <t xml:space="preserve">UCI_HOI</t>
  </si>
  <si>
    <t xml:space="preserve">CSV diagnostics; residual tie-break/monitoring only when material</t>
  </si>
  <si>
    <t xml:space="preserve">Final recommendation and gates</t>
  </si>
  <si>
    <t xml:space="preserve">Audit_Flags</t>
  </si>
  <si>
    <t xml:space="preserve">Audit flags and review conditions</t>
  </si>
  <si>
    <t xml:space="preserve">Provenance and Compliance Certificate</t>
  </si>
  <si>
    <t xml:space="preserve">Sensitivity_Analysis</t>
  </si>
  <si>
    <t xml:space="preserve">Robustness testing</t>
  </si>
  <si>
    <t xml:space="preserve">Subgroup_Analysis</t>
  </si>
  <si>
    <t xml:space="preserve">Worst-off subgroup documentation</t>
  </si>
  <si>
    <t xml:space="preserve">Version_Control</t>
  </si>
  <si>
    <t xml:space="preserve">Version tracking</t>
  </si>
  <si>
    <t xml:space="preserve">Pre-run projection lock</t>
  </si>
  <si>
    <t xml:space="preserve">Execution-stability record and indicators</t>
  </si>
  <si>
    <t xml:space="preserve">PrimitiveTrace</t>
  </si>
  <si>
    <t xml:space="preserve">Primitive-to-observable trace</t>
  </si>
  <si>
    <t xml:space="preserve">ObservableConsequences</t>
  </si>
  <si>
    <t xml:space="preserve">Observable consequence register</t>
  </si>
  <si>
    <t xml:space="preserve">FalsificationPlan</t>
  </si>
  <si>
    <t xml:space="preserve">Falsification and downgrade plan</t>
  </si>
  <si>
    <t xml:space="preserve">MethodologyMaturity</t>
  </si>
  <si>
    <t xml:space="preserve">Claim maturity ladder</t>
  </si>
  <si>
    <t xml:space="preserve">v10_Sanity_Checklist</t>
  </si>
  <si>
    <t xml:space="preserve">v10.8 maturity-hardening sanity checks</t>
  </si>
  <si>
    <t xml:space="preserve">Transition admissibility card</t>
  </si>
  <si>
    <t xml:space="preserve">UCI measurement readiness</t>
  </si>
  <si>
    <t xml:space="preserve">Kernel use posture</t>
  </si>
  <si>
    <t xml:space="preserve">v11.4.2 RELEASE-READINESS NOTES</t>
  </si>
  <si>
    <t xml:space="preserve">The workbook is a worked-run companion, not a ProofPack, semantic validator, legal/deployment certification, or final reference calculator.</t>
  </si>
  <si>
    <t xml:space="preserve">RF is the public Rights Floor layer; NCRC is the formal non-compensatory predicate. CSV means Containment and Structural Viability.</t>
  </si>
  <si>
    <t xml:space="preserve">RLS may rank only options that retain claim support and clear RF/NCRC, TRC, and CSV, including any binding controls.</t>
  </si>
  <si>
    <t xml:space="preserve">For three or more substantive options, extend the workbook logic or run sequential pairwise/fresh evaluations with documented rationale.</t>
  </si>
  <si>
    <t xml:space="preserve">τ(t) = MIN(1, LN(1+MAX(t, t_min)) / LN(1+T_ref))   [RippleLogic v11.4 Appendix B.1]</t>
  </si>
  <si>
    <t xml:space="preserve">Contribution = μ × r × ℓ × c × e × s × τ(t)</t>
  </si>
  <si>
    <t xml:space="preserve">v_r(a) = max(0, θ_r - min I_rights over R_r)</t>
  </si>
  <si>
    <t xml:space="preserve">L(a,s) = Σ_{c∈C_cat} ω_c × max(0, -I_prop_c)</t>
  </si>
  <si>
    <t xml:space="preserve">CVaR_α = E[L | L ≥ VaR_α]</t>
  </si>
  <si>
    <t xml:space="preserve">v11.4 LINEAGE / MATURITY NOTES</t>
  </si>
  <si>
    <t xml:space="preserve">The workbook is a worked-run companion, not a ProofPack, semantic validator, or reference calculator. Historical v10.8/v11.0 surfaces are retained only as lineage or maturity-hardening sheets where named.</t>
  </si>
  <si>
    <t xml:space="preserve">Historical maturity sheets are retained for lineage and claim-support posture; the active public cascade remains RG -&gt; RF -&gt; TRC -&gt; CSV -&gt; RLS.</t>
  </si>
  <si>
    <t xml:space="preserve">Maturity sheets disclose claim support posture: UCI_Maturity, Kernel_Posture, HDW_Capture_Audit, PLSS_Escalation, BioSGP_Maturity, and Deployment_Context.</t>
  </si>
  <si>
    <t xml:space="preserve">Tier 2+ uncertainty method (A/B/C) is REQUIRED per the current v11.4 line.</t>
  </si>
  <si>
    <t xml:space="preserve">Union Scopes (short: Scopes) is canonical; Union(s) remains a valid legacy alias in prose/UI.</t>
  </si>
  <si>
    <t xml:space="preserve">Review Source_Coupling: claimed capabilities must be traceable to enabling conditions and boundary conditions; weak source coupling may narrow claims or route into CSV.</t>
  </si>
  <si>
    <t xml:space="preserve">RippleLogic Aligners Sheet v4.4 Version Control</t>
  </si>
  <si>
    <t xml:space="preserve">Sheet Version: v4.4</t>
  </si>
  <si>
    <t xml:space="preserve">Modified</t>
  </si>
  <si>
    <t xml:space="preserve">2026-06-23</t>
  </si>
  <si>
    <t xml:space="preserve">Hash authority</t>
  </si>
  <si>
    <t xml:space="preserve">External release manifest controls shipped bytes; workbook does not embed its own final SHA-256.</t>
  </si>
  <si>
    <t xml:space="preserve">v1.7.0</t>
  </si>
  <si>
    <t xml:space="preserve">2026-02-03</t>
  </si>
  <si>
    <t xml:space="preserve">LINEAGE (historical): Schema validation computed, SC-06 fixed, legacy publishability gate included PLACEHOLDER_COUNT. Current v4.4 surfaces use scoped worked-run publishability language.</t>
  </si>
  <si>
    <t xml:space="preserve">VERSION HISTORY</t>
  </si>
  <si>
    <t xml:space="preserve">Version</t>
  </si>
  <si>
    <t xml:space="preserve">Changes</t>
  </si>
  <si>
    <t xml:space="preserve">Assistance</t>
  </si>
  <si>
    <t xml:space="preserve">RF Clarity + CSV Upgrade: adds CSV sheet, updates active cascade to RG -&gt; RF -&gt; TRC -&gt; CSV -&gt; RLS, treats CSV as Containment and Structural Viability selectability gate, preserves non-purity rule and graduated CSV verdicts, and updates package pins to Canon v11.4, SGP v6.4, ripple.md v4.4, Agent System v11.4, Primer v3.4, Sheet v4.4.</t>
  </si>
  <si>
    <t xml:space="preserve">GPT-assisted</t>
  </si>
  <si>
    <t xml:space="preserve">v3.0</t>
  </si>
  <si>
    <t xml:space="preserve">2026-03-19</t>
  </si>
  <si>
    <t xml:space="preserve">Release-hardening sync for GitHub publication: standardized RippleLogic naming, corrected propagation/weight-profile metadata so Config and PCC distinguish Propagation = NONE from Weight Profile = PLSS_LOCAL, bound dashboard NCRC resolution and 5SPR review-flag text to live workbook logic, removed stale RLS display surfaces in favor of canonical live values, added ReachBasisType / Denominator / Estimator disclosure fields on Impact_Input, added a PLSS disclosure block to PCC, and prepared clean release-integrity packaging. Review-pass hardening added: fixed tier-reference bugs in RLS/Audit_Flags, corrected non-decisive flag logic, added scenario-probability provenance fields, PLSS q_u reason-code/source fields, per-instance e_k governance fields, and PCC provenance-hardening section.</t>
  </si>
  <si>
    <t xml:space="preserve">v2.0</t>
  </si>
  <si>
    <t xml:space="preserve">2026-03-14</t>
  </si>
  <si>
    <t xml:space="preserve">RippleLogic v9.6.4 + SGP v4.7.1 synchronization. Updated live release-line pins, companion-facing notes, and workbook references so the aligned worked-run exemplar reflects the current canonical pair while preserving the existing v3.0 workbook architecture.</t>
  </si>
  <si>
    <t xml:space="preserve">OpenAI-assisted</t>
  </si>
  <si>
    <t xml:space="preserve">v2.1</t>
  </si>
  <si>
    <t xml:space="preserve">2026-03-15</t>
  </si>
  <si>
    <t xml:space="preserve">BUG FIXES + VERSION SYNC (v3.0): (1) Replaced legacy _xludf-prefixed MINIFS, AGGREGATE, and TEXTJOIN formulas with cross-platform formulas that evaluate on current Excel and LibreOffice, including SUMPRODUCT(MIN(...)) rights-floor formulas, MATCH/INDEX worst-cell locators, and MID/IF concatenation for active flag lists. (2) Sanity_Checklist SC-01..04 Expected values changed from stale hardcoded strings to dynamic CANON/Config cross-references; SC-33 repurposed as SGP version check (SC-34); SC-IDs SC-30..33 in rows 42-45 corrected; PASS/FAIL counts extended to all 34 checks. (3) All live descriptive refs updated to v9.6.4 across the workbook surface. (4) SGP version refs updated to v4.7.1. (5) Release_Notes B8 corrected from Audit_Flags!B26 to Audit_Flags!J19 (active flag list). (6) Version_Control A2 fixed from stored text to formula; B2 stale value cleared.</t>
  </si>
  <si>
    <t xml:space="preserve">Claude-assisted</t>
  </si>
  <si>
    <t xml:space="preserve">v1.8.3</t>
  </si>
  <si>
    <t xml:space="preserve">2026-02-16</t>
  </si>
  <si>
    <t xml:space="preserve">v8.5.4 PATCHED RE-PIN: Framework→RippleLogic v8.5.4 PATCHED. Added SCI (Section 5.0.1), ScopeCoverage (Section 2.2A), InstanceMap (Appendix H), active cell definition (Section 10.3). New audit flags: SCOPE_COVERAGE_REDUCED (REVIEW), SCI_BELOW_MINIMUM (ESCALATE), SCI_AT_MINIMUM_NO_UPGRADE (REVIEW), UNCERTAINTY_NOT_DECLARED (INVALID). Tier 2 uncertainty REQUIRED. PCC Sections 12-15 added. All 27 sheet section refs updated to v8.5.4 PATCHED. Terminology: "Union Scopes" adopted per v8.5.4 PATCHED.</t>
  </si>
  <si>
    <t xml:space="preserve">2026-05-24</t>
  </si>
  <si>
    <t xml:space="preserve">Measurement-maturity hardening and final v3.4 synchronization: added maturity/context surfaces, corrected release-boundary language, and preserved worked-run exemplar posture without ProofPack, Tier 4, empirical-validation, or machine-verifiable-ecosystem-complete claims.</t>
  </si>
  <si>
    <t xml:space="preserve">OpenAI-assisted triple-pass release cleanup</t>
  </si>
  <si>
    <t xml:space="preserve">1.6.4</t>
  </si>
  <si>
    <t xml:space="preserve">2026-02-02</t>
  </si>
  <si>
    <t xml:space="preserve">FINAL: Boolean→numeric, hardened schema, audit consistency, placeholders removed, publish-ready gate</t>
  </si>
  <si>
    <t xml:space="preserve">1.6.5</t>
  </si>
  <si>
    <t xml:space="preserve">SSOT enforcement: computed flags, no hardcoded triggers, placeholder removal, TRC audit format, NCRC cleanup, conservative subgroup bound</t>
  </si>
  <si>
    <t xml:space="preserve">2026-06-19</t>
  </si>
  <si>
    <t xml:space="preserve">RF Clarity, Structural Viability, and Falsification Discipline Patch; carries forward Term Discrimination and Semantic Stability controls: synchronized to Canon v11.4, SGP v6.4, ripple.md v4.4, Agent System v11.4, Primer v3.4, and Sheet v4.4; added Term_Discrimination and Do_Not_Collapse sheets; extended Category_Grounding with category_discriminator, dependency_position, term_refusal_condition, noncollapse_pairs, and source_authority_status fields.</t>
  </si>
  <si>
    <t xml:space="preserve">1.6.7</t>
  </si>
  <si>
    <t xml:space="preserve">DEFINITIVE: All triggers/counts/gates are formulas, SSOT enforced, no typed values, manual override sentinel, Release Integrity Panel</t>
  </si>
  <si>
    <t xml:space="preserve">1.6.1</t>
  </si>
  <si>
    <t xml:space="preserve">CLAIM-READY: C_cat filled; CVaR computed; type fixes; full SSOT</t>
  </si>
  <si>
    <t xml:space="preserve">1.5.5</t>
  </si>
  <si>
    <t xml:space="preserve">2026-01-31</t>
  </si>
  <si>
    <t xml:space="preserve">Computed Dashboard; TRC sorted scenarios</t>
  </si>
  <si>
    <t xml:space="preserve">1.5.6</t>
  </si>
  <si>
    <t xml:space="preserve">Audit_Flags computed formulas</t>
  </si>
  <si>
    <t xml:space="preserve">1.5.7</t>
  </si>
  <si>
    <t xml:space="preserve">Fixed Containment/RANK formulas; full computed Audit_Flags; error-free</t>
  </si>
  <si>
    <t xml:space="preserve">1.5.8</t>
  </si>
  <si>
    <t xml:space="preserve">Claim-ready: +PROC right; fixed Containment refs; σ_est toggle; Sanity Checklist; blank=INVALID</t>
  </si>
  <si>
    <t xml:space="preserve">Mandatory Tails</t>
  </si>
  <si>
    <t xml:space="preserve">p_floor (≥0.02)</t>
  </si>
  <si>
    <t xml:space="preserve">✓ PASS (vacuous)</t>
  </si>
  <si>
    <t xml:space="preserve">✓ PASS (computed)</t>
  </si>
  <si>
    <t xml:space="preserve">✓ PASS (with 5SPR)</t>
  </si>
  <si>
    <t xml:space="preserve">Audit Flags</t>
  </si>
  <si>
    <t xml:space="preserve">✓ PASS (NONDECISIVE_GAP_REVIEW active)</t>
  </si>
  <si>
    <t xml:space="preserve">OVERALL</t>
  </si>
  <si>
    <t xml:space="preserve">✓ TIER 2 CONFORMANT</t>
  </si>
  <si>
    <t xml:space="preserve">v1.7.3</t>
  </si>
  <si>
    <t xml:space="preserve">PUBLISH_FINAL: Fixed MINIFS compatibility (140), wrapped TRC IFERROR, unified version labels, bracket policy clarified</t>
  </si>
  <si>
    <t xml:space="preserve">RC_POLISH: reconciled version ids; clarified containment as Tier-2 proxy; improved SUBGROUP_LIMITATION trigger (analysis-aware); updated σ_est policy note</t>
  </si>
  <si>
    <t xml:space="preserve">Claude+GPT-assisted</t>
  </si>
  <si>
    <t xml:space="preserve">v1.7.5</t>
  </si>
  <si>
    <t xml:space="preserve">2026-02-04</t>
  </si>
  <si>
    <t xml:space="preserve">PUBLISH_HARDEN: Fixed NCRC Min_I_rights calc (AGGREGATE), PCC Section 7 + 5SPR auto-pulls Audit_Flags, removed header version drift, clarified overrides vs audit flag, mandatory tails display links to CANON.</t>
  </si>
  <si>
    <t xml:space="preserve">v1.7.9</t>
  </si>
  <si>
    <t xml:space="preserve">FINAL_HARDEN: aligned RLS decisiveness display with Gap/√(2σ²+ε); PCC mitigation reframed as qualitative + headroom; added TRC outputs populated sanity check; fixed placeholder check reference.</t>
  </si>
  <si>
    <t xml:space="preserve">v1.8.0</t>
  </si>
  <si>
    <t xml:space="preserve">2026-02-13</t>
  </si>
  <si>
    <t xml:space="preserve">CANON RE-PIN: Framework→RippleLogic v8.5.4 PATCHED, SGP→v4.4.3. τ(t) corrected to MIN(1,LN(1+MAX(t,t_min))/LN(1+T_ref)) with t_min=0.083 per v8.5.4 PATCHED Appendix B.1. All 27 sheet section refs updated. Stewardship block added to PCC. UCI E₁=1 verified. Config date updated.</t>
  </si>
  <si>
    <t xml:space="preserve">TIER 3 READINESS CHECKLIST</t>
  </si>
  <si>
    <t xml:space="preserve">☐ Expand scenarios to ≥20 (currently 7)</t>
  </si>
  <si>
    <t xml:space="preserve">☐ Complete sensitivity analysis</t>
  </si>
  <si>
    <t xml:space="preserve">☐ Independent reviewer sign-off</t>
  </si>
  <si>
    <t xml:space="preserve">☐ Full subgroup enumeration</t>
  </si>
  <si>
    <t xml:space="preserve">☐ Add kernel with KQS (if QUICK mode)</t>
  </si>
  <si>
    <t xml:space="preserve">☐ UCI from structural indicators</t>
  </si>
  <si>
    <t xml:space="preserve">☐ Uncertainty quantification (σ values)</t>
  </si>
  <si>
    <t xml:space="preserve">KNOWN LIMITATIONS (v3.4)</t>
  </si>
  <si>
    <t xml:space="preserve">Cascade evaluation complete; RLS non-decisive requires documented authority judgment call</t>
  </si>
  <si>
    <t xml:space="preserve">2. Scenario count (7) above Tier 2 min but below Tier 3</t>
  </si>
  <si>
    <t xml:space="preserve">3. UCI values = evaluator assessment, not structural indicators</t>
  </si>
  <si>
    <t xml:space="preserve">4. Sensitivity template ready but not fully populated</t>
  </si>
  <si>
    <t xml:space="preserve">5. Kernel not used (NONE mode) - appropriate for Tier 2</t>
  </si>
  <si>
    <t xml:space="preserve">PATCH_NOTE</t>
  </si>
  <si>
    <t xml:space="preserve">Added explicit PCC BaselineType_Welfare = STATUS_QUO and reference lines (restoring v1.8.4 clarity).</t>
  </si>
  <si>
    <t xml:space="preserve">PATCH_TIMESTAMP_UTC</t>
  </si>
  <si>
    <t xml:space="preserve">2026-02-20T13:28:45Z</t>
  </si>
  <si>
    <t xml:space="preserve">2026-05-13</t>
  </si>
  <si>
    <t xml:space="preserve">Release-integrity hardening: pins synchronized, claim-boundary clarified, ProofPack distinction added.</t>
  </si>
  <si>
    <t xml:space="preserve">Prior v10.3 GitHub release; superseded by v10.6 reader-first release line.</t>
  </si>
  <si>
    <t xml:space="preserve">2026-06-12</t>
  </si>
  <si>
    <t xml:space="preserve">v11.4 / SGP v6.4 layer-discipline and reality-grounding update: preserves computable-but-inadmissible, layer-specific falsification, reference/preference/number claim discipline, Adaptive Reserve diagnostics, and RCR status-vs-trace discipline.</t>
  </si>
  <si>
    <t xml:space="preserve">ProjectionPreRegistration - RippleLogic Aligners Sheet v4.4</t>
  </si>
  <si>
    <t xml:space="preserve">This sheet locks decision-critical projection values before a run. Any material post-registration mismatch triggers REFUSAL_UNDERDETERMINED unless the run is restarted with a new pre-registration record.</t>
  </si>
  <si>
    <t xml:space="preserve">Declared Value</t>
  </si>
  <si>
    <t xml:space="preserve">Source Sheet/Cell</t>
  </si>
  <si>
    <t xml:space="preserve">Locked Before Run?</t>
  </si>
  <si>
    <t xml:space="preserve">Current Value</t>
  </si>
  <si>
    <t xml:space="preserve">Match?</t>
  </si>
  <si>
    <t xml:space="preserve">MATCH</t>
  </si>
  <si>
    <t xml:space="preserve">CANON!B6</t>
  </si>
  <si>
    <t xml:space="preserve">SHEET_VERSION</t>
  </si>
  <si>
    <t xml:space="preserve">RIGHTS_COVERAGE_SET</t>
  </si>
  <si>
    <t xml:space="preserve">Canonical Appendix C / Rights_Coverage sheet</t>
  </si>
  <si>
    <t xml:space="preserve">RIGHTS_THRESHOLDS</t>
  </si>
  <si>
    <t xml:space="preserve">CANON θ_r values</t>
  </si>
  <si>
    <t xml:space="preserve">CANON!A29:C36</t>
  </si>
  <si>
    <t xml:space="preserve">C_CAT_SET</t>
  </si>
  <si>
    <t xml:space="preserve">Canonical catastrophe cells</t>
  </si>
  <si>
    <t xml:space="preserve">SCENARIO_SET</t>
  </si>
  <si>
    <t xml:space="preserve">Declared governed scenario set</t>
  </si>
  <si>
    <t xml:space="preserve">SCENARIO_PROBABILITIES</t>
  </si>
  <si>
    <t xml:space="preserve">Declared p_s</t>
  </si>
  <si>
    <t xml:space="preserve">CVaR_ALPHA</t>
  </si>
  <si>
    <t xml:space="preserve">CANON!B18</t>
  </si>
  <si>
    <t xml:space="preserve">TAU_TRC</t>
  </si>
  <si>
    <t xml:space="preserve">Declared corridor threshold</t>
  </si>
  <si>
    <t xml:space="preserve">CONTAINMENT_THRESHOLDS</t>
  </si>
  <si>
    <t xml:space="preserve">theta_pos / tau_c</t>
  </si>
  <si>
    <t xml:space="preserve">CANON!B22:B23</t>
  </si>
  <si>
    <t xml:space="preserve">UNION_WEIGHT_FLOORS</t>
  </si>
  <si>
    <t xml:space="preserve">Section 13.1 floor vector</t>
  </si>
  <si>
    <t xml:space="preserve">DIMENSION_WEIGHT_FLOORS</t>
  </si>
  <si>
    <t xml:space="preserve">SGP_SCALAR_BINDING</t>
  </si>
  <si>
    <t xml:space="preserve">SG_patient_norm where available, otherwise SG_norm</t>
  </si>
  <si>
    <t xml:space="preserve">SGP_Integration</t>
  </si>
  <si>
    <t xml:space="preserve">SUBGROUP_UPLIFT</t>
  </si>
  <si>
    <t xml:space="preserve">gamma_subgroup</t>
  </si>
  <si>
    <t xml:space="preserve">KERNEL_MODE</t>
  </si>
  <si>
    <t xml:space="preserve">CANON / I_prop</t>
  </si>
  <si>
    <t xml:space="preserve">SENSITIVITY_SWEEP_SPEC</t>
  </si>
  <si>
    <t xml:space="preserve">Declared before run</t>
  </si>
  <si>
    <t xml:space="preserve">CLAIM_BOUNDARY</t>
  </si>
  <si>
    <t xml:space="preserve">Declared claim boundary</t>
  </si>
  <si>
    <t xml:space="preserve">PCC / CANON</t>
  </si>
  <si>
    <t xml:space="preserve">EXECUTION_STABILITY_SPEC</t>
  </si>
  <si>
    <t xml:space="preserve">ESD v1.0 regime-token set required for consequence-bearing execution claims</t>
  </si>
  <si>
    <t xml:space="preserve">Status Vocabulary</t>
  </si>
  <si>
    <t xml:space="preserve">Run status</t>
  </si>
  <si>
    <t xml:space="preserve">READY | RUNNING | REFUSAL_UNDERDETERMINED | INVALID | COMPLETE</t>
  </si>
  <si>
    <t xml:space="preserve">Projection match field</t>
  </si>
  <si>
    <t xml:space="preserve">MATCH | MISMATCH | NOT_EVALUATED</t>
  </si>
  <si>
    <t xml:space="preserve">Sensitivity module status</t>
  </si>
  <si>
    <t xml:space="preserve">NOT_RUN | PERFORMED | INVALID</t>
  </si>
  <si>
    <t xml:space="preserve">Sanity checklist status</t>
  </si>
  <si>
    <t xml:space="preserve">PASS | FAIL | NA</t>
  </si>
  <si>
    <t xml:space="preserve">Material Difference Rule</t>
  </si>
  <si>
    <t xml:space="preserve">Materially differs means: (i) any categorical value differs; (ii) any version, hash, pin, or set-membership value differs; (iii) any numeric threshold or probability differs by any amount unless an explicit rounding tolerance is declared; or (iv) any scenario-set, rights-set, catastrophe-set, or sensitivity-sweep specification changes.</t>
  </si>
  <si>
    <t xml:space="preserve">Audit Flag</t>
  </si>
  <si>
    <t xml:space="preserve">PROJECTION_MODIFIED_POST_REGISTRATION</t>
  </si>
  <si>
    <t xml:space="preserve">Set if any Current Value materially differs from Declared Value after run begins</t>
  </si>
  <si>
    <t xml:space="preserve">Execution Stability Rule</t>
  </si>
  <si>
    <t xml:space="preserve">ESD missing for required run invalidates execution-stability-classified claim</t>
  </si>
  <si>
    <t xml:space="preserve">ESD block tokens</t>
  </si>
  <si>
    <t xml:space="preserve">ESC_UNDERDETERMINED | ESC_ENDPOINT_REFUSED | ESC_CONTAINMENT_FAIL</t>
  </si>
  <si>
    <t xml:space="preserve">ESD monitor token</t>
  </si>
  <si>
    <t xml:space="preserve">ESC_STABLE_MONITOR requires monitoring/staging plan</t>
  </si>
  <si>
    <t xml:space="preserve">ESD bounded token</t>
  </si>
  <si>
    <t xml:space="preserve">ESC_DESTABILIZING_BOUNDED requires explicit operator/reviewer approval and rollback path</t>
  </si>
  <si>
    <t xml:space="preserve">ExecutionStability - PCC.ExecutionStabilityRecord v1.1</t>
  </si>
  <si>
    <t xml:space="preserve">Pre-execution regime classification for consequence-bearing transitions. Does not override NCRC, TRC, Containment, Refusal, or lawful authority.</t>
  </si>
  <si>
    <t xml:space="preserve">ESD_RECORD_ID</t>
  </si>
  <si>
    <t xml:space="preserve">PCC!B189</t>
  </si>
  <si>
    <t xml:space="preserve">OPTION_ID</t>
  </si>
  <si>
    <t xml:space="preserve">Dashboard/PCC</t>
  </si>
  <si>
    <t xml:space="preserve">DOMAIN_DECLARED</t>
  </si>
  <si>
    <t xml:space="preserve">Organization policy transition</t>
  </si>
  <si>
    <t xml:space="preserve">CURRENT_STATE_SUMMARY</t>
  </si>
  <si>
    <t xml:space="preserve">Pre-deployment / pre-execution worked-run exemplar</t>
  </si>
  <si>
    <t xml:space="preserve">PROPOSED_TRANSITION</t>
  </si>
  <si>
    <t xml:space="preserve">Implement authority-selected option under declared scope and monitoring</t>
  </si>
  <si>
    <t xml:space="preserve">CONTINUATION_REQUIREMENT</t>
  </si>
  <si>
    <t xml:space="preserve">Continuity required for affected scopes</t>
  </si>
  <si>
    <t xml:space="preserve">AFFECTED_SCOPES</t>
  </si>
  <si>
    <t xml:space="preserve">U1-U7 as declared in PCC/closure</t>
  </si>
  <si>
    <t xml:space="preserve">PCC.ComputationalClosure</t>
  </si>
  <si>
    <t xml:space="preserve">REVERSIBILITY_STATUS</t>
  </si>
  <si>
    <t xml:space="preserve">Staged / reversible in policy cycle</t>
  </si>
  <si>
    <t xml:space="preserve">ENDPOINT_RISK</t>
  </si>
  <si>
    <t xml:space="preserve">No endpoint-like closure declared in worked example</t>
  </si>
  <si>
    <t xml:space="preserve">DESTABILIZATION_INDICATORS</t>
  </si>
  <si>
    <t xml:space="preserve">Monitor productivity, burnout, cohesion, due process, information integrity</t>
  </si>
  <si>
    <t xml:space="preserve">CONTAINMENT_DISPOSITION</t>
  </si>
  <si>
    <t xml:space="preserve">See Containment sheet</t>
  </si>
  <si>
    <t xml:space="preserve">ADMISSIBILITY_STATE_BEFORE_ESD</t>
  </si>
  <si>
    <t xml:space="preserve">EVIDENCE_BASIS</t>
  </si>
  <si>
    <t xml:space="preserve">REGIME_TOKEN</t>
  </si>
  <si>
    <t xml:space="preserve">Allowed: ESC_STABLE, ESC_STABLE_MONITOR, ESC_DESTABILIZING_BOUNDED, ESC_ENDPOINT_AUTHORIZED, ESC_ENDPOINT_REFUSED, ESC_CONTAINMENT_FAIL, ESC_UNDERDETERMINED</t>
  </si>
  <si>
    <t xml:space="preserve">MONITORING_OR_STAGING_PLAN</t>
  </si>
  <si>
    <t xml:space="preserve">ROLLBACK_OR_REPAIR_PATH</t>
  </si>
  <si>
    <t xml:space="preserve">ESCALATION_ROUTE</t>
  </si>
  <si>
    <t xml:space="preserve">Operator / governance reviewer</t>
  </si>
  <si>
    <t xml:space="preserve">EXECUTION_DISPOSITION</t>
  </si>
  <si>
    <t xml:space="preserve">Execution-stability-classified only as worked exemplar</t>
  </si>
  <si>
    <t xml:space="preserve">Demonstrates sheet surface, not empirical operational readiness</t>
  </si>
  <si>
    <t xml:space="preserve">REVIEWER_SIGNATURE_OR_ROLE</t>
  </si>
  <si>
    <t xml:space="preserve">Reviewer role required for production use</t>
  </si>
  <si>
    <t xml:space="preserve">TIMESTAMP</t>
  </si>
  <si>
    <t xml:space="preserve">2026-05-19</t>
  </si>
  <si>
    <t xml:space="preserve">Blocking rule</t>
  </si>
  <si>
    <t xml:space="preserve">If REGIME_TOKEN is ESC_UNDERDETERMINED, ESC_ENDPOINT_REFUSED, or ESC_CONTAINMENT_FAIL, do not execute and route to Refusal / review.</t>
  </si>
  <si>
    <t xml:space="preserve">Non-override rule</t>
  </si>
  <si>
    <t xml:space="preserve">ESD cannot rescue failures at NCRC, TRC, Containment, Refusal, or lawful authority.</t>
  </si>
  <si>
    <t xml:space="preserve">INDICATORS BLOCK (Appendix T.4.1)</t>
  </si>
  <si>
    <t xml:space="preserve">indicator_id</t>
  </si>
  <si>
    <t xml:space="preserve">indicator_name</t>
  </si>
  <si>
    <t xml:space="preserve">measurement_method</t>
  </si>
  <si>
    <t xml:space="preserve">data_source</t>
  </si>
  <si>
    <t xml:space="preserve">signal_threshold</t>
  </si>
  <si>
    <t xml:space="preserve">decision_rule_for_token_assignment</t>
  </si>
  <si>
    <t xml:space="preserve">IND-001</t>
  </si>
  <si>
    <t xml:space="preserve">productivity_decline</t>
  </si>
  <si>
    <t xml:space="preserve">Rolling 13-week mean of OKR / task completion rate compared with 52-week baseline</t>
  </si>
  <si>
    <t xml:space="preserve">Declared organizational analytics or manual evidence log</t>
  </si>
  <si>
    <t xml:space="preserve">&lt;-10% relative to baseline</t>
  </si>
  <si>
    <t xml:space="preserve">Active indicator contributes to ESC_STABLE_MONITOR; if 3+ active for 4+ weeks, route to ESC_DESTABILIZING_BOUNDED or review</t>
  </si>
  <si>
    <t xml:space="preserve">DECLARED</t>
  </si>
  <si>
    <t xml:space="preserve">IND-002</t>
  </si>
  <si>
    <t xml:space="preserve">burnout_signal</t>
  </si>
  <si>
    <t xml:space="preserve">Rolling pulse-survey or workload proxy trend</t>
  </si>
  <si>
    <t xml:space="preserve">HR / reviewer evidence log</t>
  </si>
  <si>
    <t xml:space="preserve">&gt;15% adverse shift or two consecutive high-risk readings</t>
  </si>
  <si>
    <t xml:space="preserve">Active indicator requires monitoring plan; severe or persistent signal escalates to ESC_DESTABILIZING_BOUNDED</t>
  </si>
  <si>
    <t xml:space="preserve">IND-003</t>
  </si>
  <si>
    <t xml:space="preserve">cohesion_decline</t>
  </si>
  <si>
    <t xml:space="preserve">Stakeholder trust / conflict / retention proxy</t>
  </si>
  <si>
    <t xml:space="preserve">Stakeholder survey, meeting log, or governance review</t>
  </si>
  <si>
    <t xml:space="preserve">Material negative trend over declared monitoring horizon</t>
  </si>
  <si>
    <t xml:space="preserve">If active with due-process or information-integrity indicators, require reviewer escalation</t>
  </si>
  <si>
    <t xml:space="preserve">IND-004</t>
  </si>
  <si>
    <t xml:space="preserve">due_process_complaint_rate</t>
  </si>
  <si>
    <t xml:space="preserve">Count and severity of due-process complaints per declared period</t>
  </si>
  <si>
    <t xml:space="preserve">Governance reviewer log</t>
  </si>
  <si>
    <t xml:space="preserve">Any severe unresolved complaint or &gt;2 moderate complaints per cycle</t>
  </si>
  <si>
    <t xml:space="preserve">Severe active signal blocks ESC_STABLE and requires review</t>
  </si>
  <si>
    <t xml:space="preserve">IND-005</t>
  </si>
  <si>
    <t xml:space="preserve">information_integrity_incident_rate</t>
  </si>
  <si>
    <t xml:space="preserve">Verified misinformation, missing disclosure, or evidence-integrity incidents</t>
  </si>
  <si>
    <t xml:space="preserve">Audit log / evidence register</t>
  </si>
  <si>
    <t xml:space="preserve">&gt;0 severe incident or repeated moderate incidents</t>
  </si>
  <si>
    <t xml:space="preserve">Active severe signal routes to review; unresolved gate-critical evidence triggers ESC_UNDERDETERMINED</t>
  </si>
  <si>
    <t xml:space="preserve">primitive_id</t>
  </si>
  <si>
    <t xml:space="preserve">primitive_statement</t>
  </si>
  <si>
    <t xml:space="preserve">layer_type</t>
  </si>
  <si>
    <t xml:space="preserve">dependency_status</t>
  </si>
  <si>
    <t xml:space="preserve">reducibility_test</t>
  </si>
  <si>
    <t xml:space="preserve">circularity_test</t>
  </si>
  <si>
    <t xml:space="preserve">domain_boundary</t>
  </si>
  <si>
    <t xml:space="preserve">operator_ref</t>
  </si>
  <si>
    <t xml:space="preserve">regime_conditions</t>
  </si>
  <si>
    <t xml:space="preserve">projection_ref</t>
  </si>
  <si>
    <t xml:space="preserve">observable_consequence</t>
  </si>
  <si>
    <t xml:space="preserve">tolerance_rule</t>
  </si>
  <si>
    <t xml:space="preserve">evidence_source</t>
  </si>
  <si>
    <t xml:space="preserve">falsification_condition</t>
  </si>
  <si>
    <t xml:space="preserve">refusal_condition</t>
  </si>
  <si>
    <t xml:space="preserve">reviewer_role</t>
  </si>
  <si>
    <t xml:space="preserve">timestamp</t>
  </si>
  <si>
    <t xml:space="preserve">hash_ref</t>
  </si>
  <si>
    <t xml:space="preserve">PTRACE-001</t>
  </si>
  <si>
    <t xml:space="preserve">Example: rights floors are non-compensatory in this run</t>
  </si>
  <si>
    <t xml:space="preserve">normative commitment</t>
  </si>
  <si>
    <t xml:space="preserve">declared primitive for run</t>
  </si>
  <si>
    <t xml:space="preserve">not reducible inside current run</t>
  </si>
  <si>
    <t xml:space="preserve">passes if not defined using its own output</t>
  </si>
  <si>
    <t xml:space="preserve">declared decision scope</t>
  </si>
  <si>
    <t xml:space="preserve">Tier and rights coverage declared</t>
  </si>
  <si>
    <t xml:space="preserve">If any protected subgroup falls below floor, option fails NCRC</t>
  </si>
  <si>
    <t xml:space="preserve">NCRC gate verdict and subgroup impact record</t>
  </si>
  <si>
    <t xml:space="preserve">theta_r thresholds and conservative bounds</t>
  </si>
  <si>
    <t xml:space="preserve">PCC evidence register</t>
  </si>
  <si>
    <t xml:space="preserve">Protected subgroup below floor under declared evidence</t>
  </si>
  <si>
    <t xml:space="preserve">Unknown gate-critical rights cell without conservative bound</t>
  </si>
  <si>
    <t xml:space="preserve">reviewer / steward</t>
  </si>
  <si>
    <t xml:space="preserve">NOT_APPLICABLE_WORKED_RUN_EXEMPLAR</t>
  </si>
  <si>
    <t xml:space="preserve">consequence_id</t>
  </si>
  <si>
    <t xml:space="preserve">linked_projection</t>
  </si>
  <si>
    <t xml:space="preserve">expected_sign</t>
  </si>
  <si>
    <t xml:space="preserve">expected_range</t>
  </si>
  <si>
    <t xml:space="preserve">tolerance</t>
  </si>
  <si>
    <t xml:space="preserve">observed_value</t>
  </si>
  <si>
    <t xml:space="preserve">verdict</t>
  </si>
  <si>
    <t xml:space="preserve">notes</t>
  </si>
  <si>
    <t xml:space="preserve">OC-001</t>
  </si>
  <si>
    <t xml:space="preserve">reviewed PCC field check</t>
  </si>
  <si>
    <t xml:space="preserve">PCC / workbook / evidence register</t>
  </si>
  <si>
    <t xml:space="preserve">PASS or FAIL</t>
  </si>
  <si>
    <t xml:space="preserve">no missing gate-critical field</t>
  </si>
  <si>
    <t xml:space="preserve">NOT_EVALUATED</t>
  </si>
  <si>
    <t xml:space="preserve">Use after run.</t>
  </si>
  <si>
    <t xml:space="preserve">OC-002</t>
  </si>
  <si>
    <t xml:space="preserve">pilot sign accuracy</t>
  </si>
  <si>
    <t xml:space="preserve">post-decision outcome review</t>
  </si>
  <si>
    <t xml:space="preserve">pilot outcome dataset</t>
  </si>
  <si>
    <t xml:space="preserve">&gt;=0</t>
  </si>
  <si>
    <t xml:space="preserve">&gt;= 0.70 sign accuracy after calibration</t>
  </si>
  <si>
    <t xml:space="preserve">domain declared</t>
  </si>
  <si>
    <t xml:space="preserve">Do not use without pre-registration.</t>
  </si>
  <si>
    <t xml:space="preserve">claim_id</t>
  </si>
  <si>
    <t xml:space="preserve">projection_id</t>
  </si>
  <si>
    <t xml:space="preserve">falsifier</t>
  </si>
  <si>
    <t xml:space="preserve">survival_condition</t>
  </si>
  <si>
    <t xml:space="preserve">downgrade_condition</t>
  </si>
  <si>
    <t xml:space="preserve">post_hoc_modification_rule</t>
  </si>
  <si>
    <t xml:space="preserve">reviewer_decision</t>
  </si>
  <si>
    <t xml:space="preserve">CLAIM-001</t>
  </si>
  <si>
    <t xml:space="preserve">Gate verdict cannot be reconstructed from pre-registered fields</t>
  </si>
  <si>
    <t xml:space="preserve">Independent reviewer reconstructs same gate verdict</t>
  </si>
  <si>
    <t xml:space="preserve">Projection is non-unique or evidence is gate-critical unknown</t>
  </si>
  <si>
    <t xml:space="preserve">Evidence supports lower tier only</t>
  </si>
  <si>
    <t xml:space="preserve">Material changes require new run, prior claim downgraded</t>
  </si>
  <si>
    <t xml:space="preserve">NOT_EVALUATED_WORKED_RUN_EXEMPLAR</t>
  </si>
  <si>
    <t xml:space="preserve">CLAIM-002</t>
  </si>
  <si>
    <t xml:space="preserve">ProofPack readiness</t>
  </si>
  <si>
    <t xml:space="preserve">Missing schema, test vector, hash, replayable PCC, or primitive trace</t>
  </si>
  <si>
    <t xml:space="preserve">All required artifacts present and replayable</t>
  </si>
  <si>
    <t xml:space="preserve">Any required artifact absent</t>
  </si>
  <si>
    <t xml:space="preserve">Release remains architecturally specified only</t>
  </si>
  <si>
    <t xml:space="preserve">No post-hoc upgrade to proofpack-ready without artifact evidence</t>
  </si>
  <si>
    <t xml:space="preserve">level</t>
  </si>
  <si>
    <t xml:space="preserve">label</t>
  </si>
  <si>
    <t xml:space="preserve">meaning</t>
  </si>
  <si>
    <t xml:space="preserve">claim_boundary</t>
  </si>
  <si>
    <t xml:space="preserve">minimum_evidence</t>
  </si>
  <si>
    <t xml:space="preserve">M0</t>
  </si>
  <si>
    <t xml:space="preserve">CONCEPTUAL</t>
  </si>
  <si>
    <t xml:space="preserve">Idea or framing exists</t>
  </si>
  <si>
    <t xml:space="preserve">No conformance or validation claim</t>
  </si>
  <si>
    <t xml:space="preserve">clear statement of concept</t>
  </si>
  <si>
    <t xml:space="preserve">INTERNAL_COHERENCE</t>
  </si>
  <si>
    <t xml:space="preserve">Definitions and logic are internally organized</t>
  </si>
  <si>
    <t xml:space="preserve">architecture discussion only</t>
  </si>
  <si>
    <t xml:space="preserve">coherence review</t>
  </si>
  <si>
    <t xml:space="preserve">WORKED_EXAMPLE</t>
  </si>
  <si>
    <t xml:space="preserve">One or more illustrative runs exist</t>
  </si>
  <si>
    <t xml:space="preserve">example claim only</t>
  </si>
  <si>
    <t xml:space="preserve">worked run record</t>
  </si>
  <si>
    <t xml:space="preserve">REPLAYABLE</t>
  </si>
  <si>
    <t xml:space="preserve">Workbook or calculator run can be replayed</t>
  </si>
  <si>
    <t xml:space="preserve">replayable artifact claim</t>
  </si>
  <si>
    <t xml:space="preserve">artifact hash and instructions</t>
  </si>
  <si>
    <t xml:space="preserve">INDEPENDENT_RECONSTRUCTION</t>
  </si>
  <si>
    <t xml:space="preserve">Independent reviewer can reconstruct verdict</t>
  </si>
  <si>
    <t xml:space="preserve">reviewed run claim</t>
  </si>
  <si>
    <t xml:space="preserve">reviewer record and discrepancies</t>
  </si>
  <si>
    <t xml:space="preserve">PILOTED</t>
  </si>
  <si>
    <t xml:space="preserve">Pre-registered pilot with comparator exists</t>
  </si>
  <si>
    <t xml:space="preserve">pilot-limited performance claim</t>
  </si>
  <si>
    <t xml:space="preserve">pilot protocol, comparator, results</t>
  </si>
  <si>
    <t xml:space="preserve">M6</t>
  </si>
  <si>
    <t xml:space="preserve">REPLICATED</t>
  </si>
  <si>
    <t xml:space="preserve">Multi-case replication exists</t>
  </si>
  <si>
    <t xml:space="preserve">limited replicated claim</t>
  </si>
  <si>
    <t xml:space="preserve">case set and replication stats</t>
  </si>
  <si>
    <t xml:space="preserve">M7</t>
  </si>
  <si>
    <t xml:space="preserve">DOMAIN_CALIBRATED</t>
  </si>
  <si>
    <t xml:space="preserve">Measurement annex validated for domain</t>
  </si>
  <si>
    <t xml:space="preserve">domain-specific calibration claim</t>
  </si>
  <si>
    <t xml:space="preserve">measurement annex and IRR</t>
  </si>
  <si>
    <t xml:space="preserve">M8</t>
  </si>
  <si>
    <t xml:space="preserve">DEPLOYED_MONITORED</t>
  </si>
  <si>
    <t xml:space="preserve">Production deployment with monitoring exists</t>
  </si>
  <si>
    <t xml:space="preserve">deployment-limited operational claim</t>
  </si>
  <si>
    <t xml:space="preserve">monitoring logs and incident process</t>
  </si>
  <si>
    <t xml:space="preserve">M9</t>
  </si>
  <si>
    <t xml:space="preserve">PROOFPACK_READY</t>
  </si>
  <si>
    <t xml:space="preserve">Public replayable ProofPack exists</t>
  </si>
  <si>
    <t xml:space="preserve">machine-verifiable ecosystem claim</t>
  </si>
  <si>
    <t xml:space="preserve">schema, validator, test vectors, replayable PCC</t>
  </si>
  <si>
    <t xml:space="preserve">check_id</t>
  </si>
  <si>
    <t xml:space="preserve">check</t>
  </si>
  <si>
    <t xml:space="preserve">status</t>
  </si>
  <si>
    <t xml:space="preserve">evidence_ref</t>
  </si>
  <si>
    <t xml:space="preserve">V10.6-01</t>
  </si>
  <si>
    <t xml:space="preserve">Canon version pinned to RippleLogic Canon v11.4</t>
  </si>
  <si>
    <t xml:space="preserve">CANON / manifest</t>
  </si>
  <si>
    <t xml:space="preserve">V10.6-02</t>
  </si>
  <si>
    <t xml:space="preserve">SGP version pinned to SGP v6.4</t>
  </si>
  <si>
    <t xml:space="preserve">V10.6-03</t>
  </si>
  <si>
    <t xml:space="preserve">ripple.md version pinned to ripple.md v4.4</t>
  </si>
  <si>
    <t xml:space="preserve">V10.6-04</t>
  </si>
  <si>
    <t xml:space="preserve">Agent System version pinned to RippleLogic Agent System v11.4</t>
  </si>
  <si>
    <t xml:space="preserve">V10.6-05</t>
  </si>
  <si>
    <t xml:space="preserve">PrimitiveTrace sheet present</t>
  </si>
  <si>
    <t xml:space="preserve">V10.6-06</t>
  </si>
  <si>
    <t xml:space="preserve">ObservableConsequences sheet present</t>
  </si>
  <si>
    <t xml:space="preserve">V10.6-07</t>
  </si>
  <si>
    <t xml:space="preserve">FalsificationPlan sheet present</t>
  </si>
  <si>
    <t xml:space="preserve">V10.6-08</t>
  </si>
  <si>
    <t xml:space="preserve">MethodologyMaturity sheet present</t>
  </si>
  <si>
    <t xml:space="preserve">V10.6-09</t>
  </si>
  <si>
    <t xml:space="preserve">No unsupported ProofPack-ready claim</t>
  </si>
  <si>
    <t xml:space="preserve">Manifest / release notes</t>
  </si>
  <si>
    <t xml:space="preserve">Not ProofPack-ready; unsupported ProofPack-ready claim absent.</t>
  </si>
  <si>
    <t xml:space="preserve">V10.6-10</t>
  </si>
  <si>
    <t xml:space="preserve">No post-hoc projection modification</t>
  </si>
  <si>
    <t xml:space="preserve">ProjectionPreRegistration / PrimitiveTrace</t>
  </si>
  <si>
    <t xml:space="preserve">Projection values locked for this worked-run release build; post-hoc modification not used after v10.8 run-lock.</t>
  </si>
  <si>
    <t xml:space="preserve">V10.6-11</t>
  </si>
  <si>
    <t xml:space="preserve">ExecutionStability indicator block populated</t>
  </si>
  <si>
    <t xml:space="preserve">ExecutionStability!A30:F36</t>
  </si>
  <si>
    <t xml:space="preserve">Indicator block includes required fields.</t>
  </si>
  <si>
    <t xml:space="preserve">V10.6-12</t>
  </si>
  <si>
    <t xml:space="preserve">TransitionAdmissibilityRecord fields present.</t>
  </si>
  <si>
    <t xml:space="preserve">V10.6-13</t>
  </si>
  <si>
    <t xml:space="preserve">UCI_Maturity sheet present and populated</t>
  </si>
  <si>
    <t xml:space="preserve">UCI Measurement Readiness declared.</t>
  </si>
  <si>
    <t xml:space="preserve">V10.6-14</t>
  </si>
  <si>
    <t xml:space="preserve">Kernel_Posture sheet present and populated</t>
  </si>
  <si>
    <t xml:space="preserve">Kernel Use Posture declared.</t>
  </si>
  <si>
    <t xml:space="preserve">V10.6-15</t>
  </si>
  <si>
    <t xml:space="preserve">HDW_Capture_Audit sheet present and populated</t>
  </si>
  <si>
    <t xml:space="preserve">Capture audit fields populated for worked run.</t>
  </si>
  <si>
    <t xml:space="preserve">V10.6-16</t>
  </si>
  <si>
    <t xml:space="preserve">PLSS_Escalation sheet present and populated</t>
  </si>
  <si>
    <t xml:space="preserve">Escalation triggers disclosed.</t>
  </si>
  <si>
    <t xml:space="preserve">V10.6-17</t>
  </si>
  <si>
    <t xml:space="preserve">BioSGP_Maturity sheet present and populated</t>
  </si>
  <si>
    <t xml:space="preserve">Biological evaluation maturity boundary disclosed.</t>
  </si>
  <si>
    <t xml:space="preserve">V10.6-18</t>
  </si>
  <si>
    <t xml:space="preserve">Deployment_Context sheet present and populated</t>
  </si>
  <si>
    <t xml:space="preserve">Deployment context declared.</t>
  </si>
  <si>
    <t xml:space="preserve">V10.6-19</t>
  </si>
  <si>
    <t xml:space="preserve">UCI_Maturity token valid and boundary disclosed</t>
  </si>
  <si>
    <t xml:space="preserve">Token and claim-boundary fields populated.</t>
  </si>
  <si>
    <t xml:space="preserve">V10.6-20</t>
  </si>
  <si>
    <t xml:space="preserve">Kernel_Posture token valid and no calibrated propagation overclaim</t>
  </si>
  <si>
    <t xml:space="preserve">K0/K1/K2/K3/K4 posture disclosed and no unsupported validation claim.</t>
  </si>
  <si>
    <t xml:space="preserve">V10.6-21</t>
  </si>
  <si>
    <t xml:space="preserve">HDW_Capture_Audit populated with capture-risk fields</t>
  </si>
  <si>
    <t xml:space="preserve">Source, participation, conflicts, challenger and independent review fields present.</t>
  </si>
  <si>
    <t xml:space="preserve">V10.6-22</t>
  </si>
  <si>
    <t xml:space="preserve">PLSS_Escalation populated with trigger and non-escalation rationale</t>
  </si>
  <si>
    <t xml:space="preserve">Externality search, challenger status, repeated-use and non-escalation rationale disclosed.</t>
  </si>
  <si>
    <t xml:space="preserve">V10.6-23</t>
  </si>
  <si>
    <t xml:space="preserve">BioSGP_Maturity token valid and protection non-regression preserved</t>
  </si>
  <si>
    <t xml:space="preserve">BEM token disclosed; biological measurement immaturity does not reduce precautionary protection.</t>
  </si>
  <si>
    <t xml:space="preserve">V10.6-24</t>
  </si>
  <si>
    <t xml:space="preserve">Deployment_Context token valid and non-claim boundary preserved</t>
  </si>
  <si>
    <t xml:space="preserve">Deployment context and non-ProofPack/Tier 4 boundary disclosed.</t>
  </si>
  <si>
    <t xml:space="preserve">V10.6-25</t>
  </si>
  <si>
    <t xml:space="preserve">Uncertainty method labels are canonical-compatible and Method C boundary disclosed</t>
  </si>
  <si>
    <t xml:space="preserve">CANON!C16:D16</t>
  </si>
  <si>
    <t xml:space="preserve">Method C is constant-σ demonstration surface, not production-calibrated uncertainty model.</t>
  </si>
  <si>
    <t xml:space="preserve">V10.6-26</t>
  </si>
  <si>
    <t xml:space="preserve">ReachBasisType enum uses canonical-compatible OTHER_DECLARED</t>
  </si>
  <si>
    <t xml:space="preserve">Impact_Input!O7:O20 / X7:X20</t>
  </si>
  <si>
    <t xml:space="preserve">Declared instance-share/exposure denominator is disclosed in ReachBasisNote.</t>
  </si>
  <si>
    <t xml:space="preserve">V10.6-27</t>
  </si>
  <si>
    <t xml:space="preserve">Stewardship note does not narrow Canon trigger conditions</t>
  </si>
  <si>
    <t xml:space="preserve">PCC!B107:C109</t>
  </si>
  <si>
    <t xml:space="preserve">No general claim that stewardship applies only to MODE 2+ AI-agent deployments.</t>
  </si>
  <si>
    <t xml:space="preserve">V10.6-28</t>
  </si>
  <si>
    <t xml:space="preserve">Tier-2 containment-proxy wording disclosed</t>
  </si>
  <si>
    <t xml:space="preserve">Dashboard!C18:E18 / PCC!B55:C56</t>
  </si>
  <si>
    <t xml:space="preserve">Full Containment Mode A remains Tier-3 binding.</t>
  </si>
  <si>
    <t xml:space="preserve">V10.6-29</t>
  </si>
  <si>
    <t xml:space="preserve">Release-integrity patch boundary recorded</t>
  </si>
  <si>
    <t xml:space="preserve">Release_Boundaries!A13:C18</t>
  </si>
  <si>
    <t xml:space="preserve">Patch is release-integrity only; no major version change.</t>
  </si>
  <si>
    <t xml:space="preserve">field</t>
  </si>
  <si>
    <t xml:space="preserve">value</t>
  </si>
  <si>
    <t xml:space="preserve">transition_id</t>
  </si>
  <si>
    <t xml:space="preserve">POPULATED</t>
  </si>
  <si>
    <t xml:space="preserve">Worked-run exemplar transition record.</t>
  </si>
  <si>
    <t xml:space="preserve">current_state</t>
  </si>
  <si>
    <t xml:space="preserve">Remote-work policy baseline before decision</t>
  </si>
  <si>
    <t xml:space="preserve">Current institutional state before authority-selected option.</t>
  </si>
  <si>
    <t xml:space="preserve">proposed_state</t>
  </si>
  <si>
    <t xml:space="preserve">Implement Option A remote-work policy</t>
  </si>
  <si>
    <t xml:space="preserve">Authority-selected option after REFUSE_DETERMINISTIC_SELECTION from worked run.</t>
  </si>
  <si>
    <t xml:space="preserve">affected_scopes</t>
  </si>
  <si>
    <t xml:space="preserve">All operational scopes retained for worked run.</t>
  </si>
  <si>
    <t xml:space="preserve">primitive_assumptions</t>
  </si>
  <si>
    <t xml:space="preserve">Rights thresholds, TRC scenario set, containment parameters, PLSS profile, and uncertainty method C.</t>
  </si>
  <si>
    <t xml:space="preserve">See CANON, Parameters, TRC, Containment, RLS.</t>
  </si>
  <si>
    <t xml:space="preserve">evidence_substrate</t>
  </si>
  <si>
    <t xml:space="preserve">Worked-run exemplar evidence, not empirical validation and not ProofPack replay evidence.</t>
  </si>
  <si>
    <t xml:space="preserve">Binary gate outputs rest on declared workbook values and thresholds.</t>
  </si>
  <si>
    <t xml:space="preserve">gate_results</t>
  </si>
  <si>
    <t xml:space="preserve">NCRC PASS; TRC PASS; CSV PASS under Tier-2 assumption-bound worked-run posture; authority selected Option A after disclosed non-decisive framework verdict.</t>
  </si>
  <si>
    <t xml:space="preserve">See Dashboard and PCC.</t>
  </si>
  <si>
    <t xml:space="preserve">uncertainty_class</t>
  </si>
  <si>
    <t xml:space="preserve">Method C worked-run uncertainty profile; production calibration not claimed.</t>
  </si>
  <si>
    <t xml:space="preserve">See PCC Uncertainty_Method.</t>
  </si>
  <si>
    <t xml:space="preserve">projection_path</t>
  </si>
  <si>
    <t xml:space="preserve">Baseline -&gt; Option A transition with declared projection and impact surfaces.</t>
  </si>
  <si>
    <t xml:space="preserve">See ProjectionPreRegistration, Impact_Input, Scenario_Impacts.</t>
  </si>
  <si>
    <t xml:space="preserve">observable_consequence_markers</t>
  </si>
  <si>
    <t xml:space="preserve">Workforce wellbeing, organizational continuity, productivity, rights-floor preservation, and monitoring indicators.</t>
  </si>
  <si>
    <t xml:space="preserve">Worked-run marker set only.</t>
  </si>
  <si>
    <t xml:space="preserve">refusal_triggers</t>
  </si>
  <si>
    <t xml:space="preserve">Material uncertainty in rights, TRC, containment, projection path, or evidence substrate.</t>
  </si>
  <si>
    <t xml:space="preserve">Would route to Refusal/escalation.</t>
  </si>
  <si>
    <t xml:space="preserve">rollback_conditions</t>
  </si>
  <si>
    <t xml:space="preserve">Post-deployment evidence of rights failure, TRC corridor breach, containment degradation, or unsupported assumptions.</t>
  </si>
  <si>
    <t xml:space="preserve">Worked-run exemplar rollback logic.</t>
  </si>
  <si>
    <t xml:space="preserve">Human reviewer / governance owner</t>
  </si>
  <si>
    <t xml:space="preserve">Replace with named reviewer in live runs.</t>
  </si>
  <si>
    <t xml:space="preserve">Release date.</t>
  </si>
  <si>
    <t xml:space="preserve">artifact_hash_ref</t>
  </si>
  <si>
    <t xml:space="preserve">See sibling SHA-256 manifest / release manifest</t>
  </si>
  <si>
    <t xml:space="preserve">Self-hash not embedded in workbook byte stream.</t>
  </si>
  <si>
    <t xml:space="preserve">Indicators declared for worked-run exemplar; no cross-domain UCI validation claim.</t>
  </si>
  <si>
    <t xml:space="preserve">UCI_Indicator_Source</t>
  </si>
  <si>
    <t xml:space="preserve">UCI_HOI sheet + worked-run structural indicators</t>
  </si>
  <si>
    <t xml:space="preserve">Source is illustrative and provisional.</t>
  </si>
  <si>
    <t xml:space="preserve">UCI_Normalization_Rule</t>
  </si>
  <si>
    <t xml:space="preserve">WORKED_RUN_LOCAL_NORMALIZATION</t>
  </si>
  <si>
    <t xml:space="preserve">Not a published universal normalization rule.</t>
  </si>
  <si>
    <t xml:space="preserve">UCI_Structural_Independence_Posture</t>
  </si>
  <si>
    <t xml:space="preserve">PROVISIONAL_DISTINCT_INDICATORS</t>
  </si>
  <si>
    <t xml:space="preserve">Distinct from RLS formula but not statistically validated for independence.</t>
  </si>
  <si>
    <t xml:space="preserve">UCI_Reviewer_Reliability_Status</t>
  </si>
  <si>
    <t xml:space="preserve">NOT_TESTED_WORKED_RUN_EXEMPLAR</t>
  </si>
  <si>
    <t xml:space="preserve">IRR not claimed.</t>
  </si>
  <si>
    <t xml:space="preserve">Claim Boundary</t>
  </si>
  <si>
    <t xml:space="preserve">No cross-domain validated UCI claim</t>
  </si>
  <si>
    <t xml:space="preserve">Requires future UCI Measurement Annex.</t>
  </si>
  <si>
    <t xml:space="preserve">No numerical propagation kernel used in this worked-run exemplar.</t>
  </si>
  <si>
    <t xml:space="preserve">Kernel_Validation_Evidence</t>
  </si>
  <si>
    <t xml:space="preserve">NOT_APPLICABLE_K0</t>
  </si>
  <si>
    <t xml:space="preserve">No calibrated kernel validation claim.</t>
  </si>
  <si>
    <t xml:space="preserve">Kernel_Backtest_Status</t>
  </si>
  <si>
    <t xml:space="preserve">No backtested kernel claim.</t>
  </si>
  <si>
    <t xml:space="preserve">Kernel_Error_Bounds</t>
  </si>
  <si>
    <t xml:space="preserve">Direct multi-scope assessment and conservative disclosure govern.</t>
  </si>
  <si>
    <t xml:space="preserve">Ripple-aware, not validated numerical propagation</t>
  </si>
  <si>
    <t xml:space="preserve">Scope mapping, gates, and auditability remain active.</t>
  </si>
  <si>
    <t xml:space="preserve">HDW_Weight_Source</t>
  </si>
  <si>
    <t xml:space="preserve">WORKED_RUN_CANONICAL_EXEMPLAR</t>
  </si>
  <si>
    <t xml:space="preserve">Weights are illustrative; no public institutional weight process claim.</t>
  </si>
  <si>
    <t xml:space="preserve">HDW_Stakeholder_Map</t>
  </si>
  <si>
    <t xml:space="preserve">PLSS_Local_Scope + Impact_Input</t>
  </si>
  <si>
    <t xml:space="preserve">Stakeholder mapping is worked-run exemplar.</t>
  </si>
  <si>
    <t xml:space="preserve">HDW_Participation_Quality</t>
  </si>
  <si>
    <t xml:space="preserve">No live democratic participation claim.</t>
  </si>
  <si>
    <t xml:space="preserve">HDW_Expert_Role_Provenance</t>
  </si>
  <si>
    <t xml:space="preserve">AUTHOR_REVIEWED_EXEMPLAR</t>
  </si>
  <si>
    <t xml:space="preserve">No independent expert panel claim.</t>
  </si>
  <si>
    <t xml:space="preserve">HDW_Conflict_Disclosures</t>
  </si>
  <si>
    <t xml:space="preserve">NONE_DECLARED_FOR_EXEMPLAR</t>
  </si>
  <si>
    <t xml:space="preserve">Live deployments require actual disclosures.</t>
  </si>
  <si>
    <t xml:space="preserve">HDW_Challenger_Window</t>
  </si>
  <si>
    <t xml:space="preserve">Tier 3 deployments require challenger window or waiver.</t>
  </si>
  <si>
    <t xml:space="preserve">HDW_Independent_Review_Status</t>
  </si>
  <si>
    <t xml:space="preserve">NOT_COMPLETED</t>
  </si>
  <si>
    <t xml:space="preserve">No capture-resistant institutional claim.</t>
  </si>
  <si>
    <t xml:space="preserve">HDW_Captured_Context_Limitation</t>
  </si>
  <si>
    <t xml:space="preserve">TRANSPARENT_LIMITATION</t>
  </si>
  <si>
    <t xml:space="preserve">The workbook exposes the limitation rather than claiming capture immunity.</t>
  </si>
  <si>
    <t xml:space="preserve">PLSS_Profile_Used</t>
  </si>
  <si>
    <t xml:space="preserve">Worked-run uses local scope with guardrails.</t>
  </si>
  <si>
    <t xml:space="preserve">Local_Stakeholder_Set</t>
  </si>
  <si>
    <t xml:space="preserve">ORG / employees / operational stakeholders</t>
  </si>
  <si>
    <t xml:space="preserve">See PLSS_Local_Scope.</t>
  </si>
  <si>
    <t xml:space="preserve">Guardrail_Scopes</t>
  </si>
  <si>
    <t xml:space="preserve">Rights floors, TRC, Containment, Biosphere/Humanity guardrails</t>
  </si>
  <si>
    <t xml:space="preserve">Focus Local, Guard Global.</t>
  </si>
  <si>
    <t xml:space="preserve">Escalation_Trigger_Checklist</t>
  </si>
  <si>
    <t xml:space="preserve">NO_BLOCKING_TRIGGER_IN_EXEMPLAR</t>
  </si>
  <si>
    <t xml:space="preserve">Hidden externalities, rights exposure, precedent, lock-in, ecological/governance spillover reviewed at exemplar level.</t>
  </si>
  <si>
    <t xml:space="preserve">Non_Escalation_Rationale</t>
  </si>
  <si>
    <t xml:space="preserve">WORKED_RUN_LOW_SCOPE_EXEMPLAR</t>
  </si>
  <si>
    <t xml:space="preserve">Live deployment must repeat this analysis with evidence.</t>
  </si>
  <si>
    <t xml:space="preserve">Externality_Search_Method</t>
  </si>
  <si>
    <t xml:space="preserve">CHECKLIST_REVIEW</t>
  </si>
  <si>
    <t xml:space="preserve">Not an empirical externality audit.</t>
  </si>
  <si>
    <t xml:space="preserve">Prominence_Sensitivity_Result</t>
  </si>
  <si>
    <t xml:space="preserve">NOT_REQUIRED_FOR_EXEMPLAR</t>
  </si>
  <si>
    <t xml:space="preserve">Required when non-local effects are plausible.</t>
  </si>
  <si>
    <t xml:space="preserve">External_Challenger_Status</t>
  </si>
  <si>
    <t xml:space="preserve">Tier 3 PLSS runs require challenger review or waiver.</t>
  </si>
  <si>
    <t xml:space="preserve">Repeated_PLSS_Use_Flag</t>
  </si>
  <si>
    <t xml:space="preserve">Repeated local use not claimed.</t>
  </si>
  <si>
    <t xml:space="preserve">Human-only worked-run exemplar; biological SGP evidence not invoked. Biological individualized measurement remains guidance-stage unless a companion annex is published and hash-pinned.</t>
  </si>
  <si>
    <t xml:space="preserve">Taxon_Baseline_Source</t>
  </si>
  <si>
    <t xml:space="preserve">HUMAN_PLATEAU_RULE</t>
  </si>
  <si>
    <t xml:space="preserve">All human persons set SG_norm(H)=1.0 by normative commitment.</t>
  </si>
  <si>
    <t xml:space="preserve">Species_Appropriate_Battery_Status</t>
  </si>
  <si>
    <t xml:space="preserve">NOT_APPLICABLE_HUMAN_PLATEAU_WORKED_RUN</t>
  </si>
  <si>
    <t xml:space="preserve">No biological animal battery used.</t>
  </si>
  <si>
    <t xml:space="preserve">Ethics_Review_Status</t>
  </si>
  <si>
    <t xml:space="preserve">Live biological evaluation requires non-harmful protocol review.</t>
  </si>
  <si>
    <t xml:space="preserve">Expert_Panel_Status</t>
  </si>
  <si>
    <t xml:space="preserve">No biological expert-panel validation claim.</t>
  </si>
  <si>
    <t xml:space="preserve">Individual_Evaluation_Limitation</t>
  </si>
  <si>
    <t xml:space="preserve">NO_INDIVIDUAL_BIOLOGICAL_PRECISION_CLAIM</t>
  </si>
  <si>
    <t xml:space="preserve">Protection posture preserved; no reduction from missing battery.</t>
  </si>
  <si>
    <t xml:space="preserve">Training/replay companion, not production deployment.</t>
  </si>
  <si>
    <t xml:space="preserve">Context_Class</t>
  </si>
  <si>
    <t xml:space="preserve">INSTITUTIONAL_ADVISORY_EXEMPLAR</t>
  </si>
  <si>
    <t xml:space="preserve">No operational deployment claim.</t>
  </si>
  <si>
    <t xml:space="preserve">Evidence_Sufficiency_Posture</t>
  </si>
  <si>
    <t xml:space="preserve">SUFFICIENT_FOR_WORKED_RUN_EXEMPLAR</t>
  </si>
  <si>
    <t xml:space="preserve">Not sufficient for ProofPack or Tier 4.</t>
  </si>
  <si>
    <t xml:space="preserve">Reviewer_Independence_Posture</t>
  </si>
  <si>
    <t xml:space="preserve">AUTHOR_REVIEWED</t>
  </si>
  <si>
    <t xml:space="preserve">Independent review not claimed.</t>
  </si>
  <si>
    <t xml:space="preserve">Audit_Visibility</t>
  </si>
  <si>
    <t xml:space="preserve">PUBLIC_RELEASE_COMPANION</t>
  </si>
  <si>
    <t xml:space="preserve">Hash-pinned artifact intended for GitHub release bundle.</t>
  </si>
  <si>
    <t xml:space="preserve">Escalation_Threshold_Posture</t>
  </si>
  <si>
    <t xml:space="preserve">DECLARED_PROVISIONAL</t>
  </si>
  <si>
    <t xml:space="preserve">Live deployments must set thresholds ex ante.</t>
  </si>
  <si>
    <t xml:space="preserve">Claim_Boundary</t>
  </si>
  <si>
    <t xml:space="preserve">NOT_PROOFPACK_READY_NOT_TIER4_READY</t>
  </si>
  <si>
    <t xml:space="preserve">Separate schemas, validators, replayable PCCs, and independent replay still required.</t>
  </si>
  <si>
    <t xml:space="preserve">Machine Readiness Surface</t>
  </si>
  <si>
    <t xml:space="preserve">Release line</t>
  </si>
  <si>
    <t xml:space="preserve">RippleLogic v11.4 / SGP v6.4 / Sheet v4.4</t>
  </si>
  <si>
    <t xml:space="preserve">Worked-run exemplar; release identity governed by sibling manifest and hash freeze.</t>
  </si>
  <si>
    <t xml:space="preserve">Registry ownership map bundled?</t>
  </si>
  <si>
    <t xml:space="preserve">NO - MANIFEST DEPENDENT</t>
  </si>
  <si>
    <t xml:space="preserve">Not bundled inside this workbook; requires separate file and SHA-256 pin if claimed.</t>
  </si>
  <si>
    <t xml:space="preserve">Schema ownership map bundled?</t>
  </si>
  <si>
    <t xml:space="preserve">PCC schema bundled?</t>
  </si>
  <si>
    <t xml:space="preserve">NO - V10.6 TOOLING LINE</t>
  </si>
  <si>
    <t xml:space="preserve">No repository-level PCC schema is bundled in this workbook.</t>
  </si>
  <si>
    <t xml:space="preserve">TransitionAdmissibility schema bundled?</t>
  </si>
  <si>
    <t xml:space="preserve">Workbook has a human-readable sheet, not a machine schema.</t>
  </si>
  <si>
    <t xml:space="preserve">ExecutionStability schema bundled?</t>
  </si>
  <si>
    <t xml:space="preserve">MaturityProfile schema bundled?</t>
  </si>
  <si>
    <t xml:space="preserve">Workbook has a human-readable maturity surface, not a machine schema.</t>
  </si>
  <si>
    <t xml:space="preserve">Appendix R machine vectors bundled?</t>
  </si>
  <si>
    <t xml:space="preserve">No machine-readable vector pack is bundled inside this workbook.</t>
  </si>
  <si>
    <t xml:space="preserve">Reference calculator bundled?</t>
  </si>
  <si>
    <t xml:space="preserve">Workbook is a worked-run exemplar, not the repository-level reference calculator.</t>
  </si>
  <si>
    <t xml:space="preserve">CI drift checks bundled?</t>
  </si>
  <si>
    <t xml:space="preserve">No CI workflow bundle is included inside this workbook.</t>
  </si>
  <si>
    <t xml:space="preserve">UCI Measurement Annex bundled?</t>
  </si>
  <si>
    <t xml:space="preserve">NO - SEPARATE ANNEX REQUIRED</t>
  </si>
  <si>
    <t xml:space="preserve">UCI_Maturity is provisional disclosure, not a validated measurement annex.</t>
  </si>
  <si>
    <t xml:space="preserve">PLSS Calibration Pack bundled?</t>
  </si>
  <si>
    <t xml:space="preserve">NO - SEPARATE PACK REQUIRED</t>
  </si>
  <si>
    <t xml:space="preserve">PLSS_Local_Scope is a worked-run profile, not a calibrated pack.</t>
  </si>
  <si>
    <t xml:space="preserve">ProofPack-ready claim allowed?</t>
  </si>
  <si>
    <t xml:space="preserve">Requires schemas, validators, reference calculator, test vectors, replayable PCC artifacts, independent replay, and hash-pinned bundle.</t>
  </si>
  <si>
    <t xml:space="preserve">Machine-readiness boundary</t>
  </si>
  <si>
    <t xml:space="preserve">WORKED_RUN_ONLY</t>
  </si>
  <si>
    <t xml:space="preserve">Rows above disclose absence/presence for release integrity. The workbook remains a worked-run exemplar, not a machine-verifiable ecosystem, ProofPack, Tier 4 artifact, or empirical-validation artifact.</t>
  </si>
  <si>
    <t xml:space="preserve">Display Clarity Upgrade</t>
  </si>
  <si>
    <t xml:space="preserve">Framework Verdict</t>
  </si>
  <si>
    <t xml:space="preserve">REFUSE_DETERMINISTIC_SELECTION</t>
  </si>
  <si>
    <t xml:space="preserve">Authority Selection</t>
  </si>
  <si>
    <t xml:space="preserve">Authority Selection Basis</t>
  </si>
  <si>
    <t xml:space="preserve">Documented judgment call over non-decisive admissible set</t>
  </si>
  <si>
    <t xml:space="preserve">Decision State Strip</t>
  </si>
  <si>
    <t xml:space="preserve">Gate-passed admissible set -&gt; non-decisive ranking -&gt; REFUSE deterministic selection -&gt; separate authority selection</t>
  </si>
  <si>
    <t xml:space="preserve">Boundary Risk Register v4.4</t>
  </si>
  <si>
    <t xml:space="preserve">Disclosure and escalation aid for hard-gate boundary gaming and false precision. Does not replace the canonical cascade.</t>
  </si>
  <si>
    <t xml:space="preserve">Risk Level</t>
  </si>
  <si>
    <t xml:space="preserve">Evidence Basis</t>
  </si>
  <si>
    <t xml:space="preserve">Sensitivity Action</t>
  </si>
  <si>
    <t xml:space="preserve">Reviewer Disposition</t>
  </si>
  <si>
    <t xml:space="preserve">Linked Gate</t>
  </si>
  <si>
    <t xml:space="preserve">Gate Swing Flag</t>
  </si>
  <si>
    <t xml:space="preserve">Escalation Required</t>
  </si>
  <si>
    <t xml:space="preserve">Formula Status</t>
  </si>
  <si>
    <t xml:space="preserve">Boundary surfaces reviewed for subgroup/scope/probability gaming</t>
  </si>
  <si>
    <t xml:space="preserve">MONITOR</t>
  </si>
  <si>
    <t xml:space="preserve">Worked-run exemplar; production use requires evidence record</t>
  </si>
  <si>
    <t xml:space="preserve">Escalate if material to RF/NCRC and TRC/Containment/PLSS</t>
  </si>
  <si>
    <t xml:space="preserve">REVIEW_REQUIRED_IF_MATERIAL</t>
  </si>
  <si>
    <t xml:space="preserve">RF/NCRC and TRC/Containment/PLSS</t>
  </si>
  <si>
    <t xml:space="preserve">Numerical values are treated as evidence-dependent, not self-validating</t>
  </si>
  <si>
    <t xml:space="preserve">Uncertainty and sensitivity notes required for high-impact/high-uncertainty cells</t>
  </si>
  <si>
    <t xml:space="preserve">Run sensitivity or narrow claim scope</t>
  </si>
  <si>
    <t xml:space="preserve">REVIEW_REQUIRED_IF_HIGH</t>
  </si>
  <si>
    <t xml:space="preserve">RLS/UCI/HOI</t>
  </si>
  <si>
    <t xml:space="preserve">Flag cells likely to alter a gate verdict, escalation, refusal, or selection state</t>
  </si>
  <si>
    <t xml:space="preserve">CHECK</t>
  </si>
  <si>
    <t xml:space="preserve">Sensitivity_Analysis + gate sheets</t>
  </si>
  <si>
    <t xml:space="preserve">Rerun with alternative plausible values</t>
  </si>
  <si>
    <t xml:space="preserve">NO_SILENT_PASS</t>
  </si>
  <si>
    <t xml:space="preserve">NCRC/Containment</t>
  </si>
  <si>
    <t xml:space="preserve">Disclose subgroup definitions for rights and worst-off checks</t>
  </si>
  <si>
    <t xml:space="preserve">Subgroup_Analysis / Subgroup_Overrides</t>
  </si>
  <si>
    <t xml:space="preserve">Independent review if contested</t>
  </si>
  <si>
    <t xml:space="preserve">NO_GERRYMANDERING</t>
  </si>
  <si>
    <t xml:space="preserve">Disclose scenario library and probability basis for TRC</t>
  </si>
  <si>
    <t xml:space="preserve">Scenario_Impacts / TRC</t>
  </si>
  <si>
    <t xml:space="preserve">Stress-test low-probability/high-impact scenarios</t>
  </si>
  <si>
    <t xml:space="preserve">NO_UNSUPPORTED_DOWNWEIGHTING</t>
  </si>
  <si>
    <t xml:space="preserve">HDW/PLSS</t>
  </si>
  <si>
    <t xml:space="preserve">Disclose rights thresholds, catastrophic corridor thresholds, and maturity thresholds</t>
  </si>
  <si>
    <t xml:space="preserve">CANON / Parameters / PCC</t>
  </si>
  <si>
    <t xml:space="preserve">Escalate if threshold choice controls verdict</t>
  </si>
  <si>
    <t xml:space="preserve">THRESHOLD_JUSTIFICATION_REQUIRED</t>
  </si>
  <si>
    <t xml:space="preserve">All maturity surfaces</t>
  </si>
  <si>
    <t xml:space="preserve">Record disagreement over evidence, scoring, boundary, threshold, or maturity classification</t>
  </si>
  <si>
    <t xml:space="preserve">LOW_OR_NOT_RECORDED</t>
  </si>
  <si>
    <t xml:space="preserve">Reviewer notes / audit process</t>
  </si>
  <si>
    <t xml:space="preserve">Escalate when disagreement is material</t>
  </si>
  <si>
    <t xml:space="preserve">DISCLOSE_AND_RESOLVE</t>
  </si>
  <si>
    <t xml:space="preserve">All reviewer-dependent gates</t>
  </si>
  <si>
    <t xml:space="preserve">This sheet improves auditability but does not make the workbook ProofPack-ready, Tier 4-ready, empirically validated, or machine-verifiable-ecosystem-complete.</t>
  </si>
  <si>
    <t xml:space="preserve">Evidence Status Tokens (v4.4)</t>
  </si>
  <si>
    <t xml:space="preserve">Token</t>
  </si>
  <si>
    <t xml:space="preserve">Meaning</t>
  </si>
  <si>
    <t xml:space="preserve">Required disclosure</t>
  </si>
  <si>
    <t xml:space="preserve">Workbook integration</t>
  </si>
  <si>
    <t xml:space="preserve">Formula / rule</t>
  </si>
  <si>
    <t xml:space="preserve">MEASURED</t>
  </si>
  <si>
    <t xml:space="preserve">Directly observed or measured with disclosed method and source.</t>
  </si>
  <si>
    <t xml:space="preserve">method, source, date or version</t>
  </si>
  <si>
    <t xml:space="preserve">May support factual claim within method limits.</t>
  </si>
  <si>
    <t xml:space="preserve">Token count</t>
  </si>
  <si>
    <t xml:space="preserve">Expected 8 canonical tokens</t>
  </si>
  <si>
    <t xml:space="preserve">ESTIMATED</t>
  </si>
  <si>
    <t xml:space="preserve">Calculated or inferred from disclosed evidence.</t>
  </si>
  <si>
    <t xml:space="preserve">method, assumptions, source inputs</t>
  </si>
  <si>
    <t xml:space="preserve">Not direct measurement.</t>
  </si>
  <si>
    <t xml:space="preserve">PCC disclosure</t>
  </si>
  <si>
    <t xml:space="preserve">PCC Section 26 includes representative evidence-status records</t>
  </si>
  <si>
    <t xml:space="preserve">ASSUMED</t>
  </si>
  <si>
    <t xml:space="preserve">Explicit assumption adopted for the run.</t>
  </si>
  <si>
    <t xml:space="preserve">assumption owner and reason</t>
  </si>
  <si>
    <t xml:space="preserve">Must not be presented as fact.</t>
  </si>
  <si>
    <t xml:space="preserve">Tokens disclose evidence posture; they do not validate the evidence</t>
  </si>
  <si>
    <t xml:space="preserve">EXPERT_JUDGMENT</t>
  </si>
  <si>
    <t xml:space="preserve">Reviewer or domain expert judgment.</t>
  </si>
  <si>
    <t xml:space="preserve">reviewer role, expertise basis, disagreement status</t>
  </si>
  <si>
    <t xml:space="preserve">Judgment, not empirical validation.</t>
  </si>
  <si>
    <t xml:space="preserve">Materially disputed evidence or interpretation.</t>
  </si>
  <si>
    <t xml:space="preserve">dispute description and alternatives</t>
  </si>
  <si>
    <t xml:space="preserve">Requires sensitivity or escalation.</t>
  </si>
  <si>
    <t xml:space="preserve">UNVALIDATED</t>
  </si>
  <si>
    <t xml:space="preserve">Plausible but not externally validated for the claimed use.</t>
  </si>
  <si>
    <t xml:space="preserve">validation gap</t>
  </si>
  <si>
    <t xml:space="preserve">Cannot support stronger readiness claim.</t>
  </si>
  <si>
    <t xml:space="preserve">NOT_OBSERVED</t>
  </si>
  <si>
    <t xml:space="preserve">No direct evidence currently observed.</t>
  </si>
  <si>
    <t xml:space="preserve">missing evidence note</t>
  </si>
  <si>
    <t xml:space="preserve">Triggers caution, phantom/default, or refusal where material.</t>
  </si>
  <si>
    <t xml:space="preserve">PLACEHOLDER_FOR_SENSITIVITY_ONLY</t>
  </si>
  <si>
    <t xml:space="preserve">Value used only for sensitivity exploration.</t>
  </si>
  <si>
    <t xml:space="preserve">sensitivity purpose</t>
  </si>
  <si>
    <t xml:space="preserve">Not a factual input.</t>
  </si>
  <si>
    <t xml:space="preserve">Compact Institutional Profiles (v4.4)</t>
  </si>
  <si>
    <t xml:space="preserve">Profile</t>
  </si>
  <si>
    <t xml:space="preserve">Use case</t>
  </si>
  <si>
    <t xml:space="preserve">Required inputs</t>
  </si>
  <si>
    <t xml:space="preserve">Mandatory gates</t>
  </si>
  <si>
    <t xml:space="preserve">Allowed simplification</t>
  </si>
  <si>
    <t xml:space="preserve">Non-waivable controls</t>
  </si>
  <si>
    <t xml:space="preserve">Profile status</t>
  </si>
  <si>
    <t xml:space="preserve">Non-waivable controls present?</t>
  </si>
  <si>
    <t xml:space="preserve">RippleLogic-enhanced RIA Profile</t>
  </si>
  <si>
    <t xml:space="preserve">Regulatory impact analysis overlay</t>
  </si>
  <si>
    <t xml:space="preserve">policy option, affected stakeholders, rights baseline, scenarios, evidence status</t>
  </si>
  <si>
    <t xml:space="preserve">NCRC, TRC, Containment, Refusal, claim-boundary note</t>
  </si>
  <si>
    <t xml:space="preserve">short-form PCC and RLS summary</t>
  </si>
  <si>
    <t xml:space="preserve">rights floors, tail risk, containment, public legitimacy</t>
  </si>
  <si>
    <t xml:space="preserve">Procurement/Vendor-Risk Profile</t>
  </si>
  <si>
    <t xml:space="preserve">public or organizational procurement</t>
  </si>
  <si>
    <t xml:space="preserve">vendor option, lock-in risk, data use, affected stakeholders, rollback plan</t>
  </si>
  <si>
    <t xml:space="preserve">NCRC, TRC, Containment, anti-domination, rollback</t>
  </si>
  <si>
    <t xml:space="preserve">vendor-risk checklist with PCC excerpt</t>
  </si>
  <si>
    <t xml:space="preserve">no hidden lock-in, no rights laundering, no unsupported ProofPack claim</t>
  </si>
  <si>
    <t xml:space="preserve">Agent Deployment Gate Profile</t>
  </si>
  <si>
    <t xml:space="preserve">AI agent deployment review</t>
  </si>
  <si>
    <t xml:space="preserve">mode level, tools, operator authority, data-retention posture, red-team status</t>
  </si>
  <si>
    <t xml:space="preserve">NCRC, TRC, Containment, NEI, operator auth, refusal/escalation</t>
  </si>
  <si>
    <t xml:space="preserve">deployment gate memo</t>
  </si>
  <si>
    <t xml:space="preserve">hard invariants, default-deny tools, audit logs, rollback</t>
  </si>
  <si>
    <t xml:space="preserve">University AI Policy Review Profile</t>
  </si>
  <si>
    <t xml:space="preserve">higher-education AI governance</t>
  </si>
  <si>
    <t xml:space="preserve">policy purpose, student/staff rights, privacy, assessment integrity, appeals</t>
  </si>
  <si>
    <t xml:space="preserve">NCRC, TRC, Containment, public reason, contestability</t>
  </si>
  <si>
    <t xml:space="preserve">committee memo and Decision Note</t>
  </si>
  <si>
    <t xml:space="preserve">due process, information rights, appeal/review, no AI-authority laundering</t>
  </si>
  <si>
    <t xml:space="preserve">Organizational Ethics Review Profile</t>
  </si>
  <si>
    <t xml:space="preserve">internal ethics and risk review</t>
  </si>
  <si>
    <t xml:space="preserve">proposal, stakeholders, material harms, evidence status, accountability owner</t>
  </si>
  <si>
    <t xml:space="preserve">NCRC, TRC, Containment, audit trail, rollback</t>
  </si>
  <si>
    <t xml:space="preserve">compact ethics memo</t>
  </si>
  <si>
    <t xml:space="preserve">rights floors, reviewer disagreement disclosure, public rationale where relevant</t>
  </si>
  <si>
    <t xml:space="preserve">SGP Patienthood / Participation Guardrail (v6.0)</t>
  </si>
  <si>
    <t xml:space="preserve">Output family</t>
  </si>
  <si>
    <t xml:space="preserve">Use</t>
  </si>
  <si>
    <t xml:space="preserve">Non-reduction rule</t>
  </si>
  <si>
    <t xml:space="preserve">MPS - Moral Patienthood Scalar</t>
  </si>
  <si>
    <t xml:space="preserve">Protection-relevant welfare-bearing status.</t>
  </si>
  <si>
    <t xml:space="preserve">Rights-of-protection and welfare-stream consideration.</t>
  </si>
  <si>
    <t xml:space="preserve">Not reducible by low governance participation.</t>
  </si>
  <si>
    <t xml:space="preserve">GPR - Governance Participation Readiness</t>
  </si>
  <si>
    <t xml:space="preserve">Readiness to participate in governance or collective decision roles.</t>
  </si>
  <si>
    <t xml:space="preserve">Role eligibility and participation design.</t>
  </si>
  <si>
    <t xml:space="preserve">Cannot reduce protection.</t>
  </si>
  <si>
    <t xml:space="preserve">SPR - Stewardship/Power Readiness</t>
  </si>
  <si>
    <t xml:space="preserve">Responsibility-bearing authority under domain-fit and accountability constraints.</t>
  </si>
  <si>
    <t xml:space="preserve">Authority/responsibility allocation.</t>
  </si>
  <si>
    <t xml:space="preserve">Pillar C boundary</t>
  </si>
  <si>
    <t xml:space="preserve">Union Participation may be patienthood, participation, or stewardship evidence depending on context.</t>
  </si>
  <si>
    <t xml:space="preserve">Evaluator must classify use.</t>
  </si>
  <si>
    <t xml:space="preserve">Low Pillar C cannot override credible Awareness and Agency evidence.</t>
  </si>
  <si>
    <t xml:space="preserve">Human Plateau Rule</t>
  </si>
  <si>
    <t xml:space="preserve">All human persons remain at full protected standing by normative commitment.</t>
  </si>
  <si>
    <t xml:space="preserve">Non-downgrade protection floor.</t>
  </si>
  <si>
    <t xml:space="preserve">No measurement route may reduce human rights.</t>
  </si>
  <si>
    <t xml:space="preserve">Computation / Disclosure Bridge</t>
  </si>
  <si>
    <t xml:space="preserve">Formula or declaration</t>
  </si>
  <si>
    <t xml:space="preserve">Output</t>
  </si>
  <si>
    <t xml:space="preserve">Principle</t>
  </si>
  <si>
    <t xml:space="preserve">SGP v6.4 Appendix J</t>
  </si>
  <si>
    <t xml:space="preserve">MPS cannot be reduced by GPR/SPR</t>
  </si>
  <si>
    <t xml:space="preserve">NON_REDUCTION_RULE</t>
  </si>
  <si>
    <t xml:space="preserve">SGP_Input!D13:D18</t>
  </si>
  <si>
    <t xml:space="preserve">Minimum human plateau / protected standing in worked run</t>
  </si>
  <si>
    <t xml:space="preserve">No governance role evaluated</t>
  </si>
  <si>
    <t xml:space="preserve">Role readiness not evaluated in this Tier-2 worked run</t>
  </si>
  <si>
    <t xml:space="preserve">No stewardship authority evaluated</t>
  </si>
  <si>
    <t xml:space="preserve">Authority readiness not evaluated in this Tier-2 worked run</t>
  </si>
  <si>
    <t xml:space="preserve">Guardrail_Status</t>
  </si>
  <si>
    <t xml:space="preserve">MPS/GPR/SPR split disclosed</t>
  </si>
  <si>
    <t xml:space="preserve">Low GPR/SPR cannot reduce protection</t>
  </si>
  <si>
    <t xml:space="preserve">Validation Roadmap (v4.4 / RippleLogic v11.4)</t>
  </si>
  <si>
    <t xml:space="preserve">Priority</t>
  </si>
  <si>
    <t xml:space="preserve">Validation item</t>
  </si>
  <si>
    <t xml:space="preserve">Required artifact/data</t>
  </si>
  <si>
    <t xml:space="preserve">Claim unlocked only after evidence</t>
  </si>
  <si>
    <t xml:space="preserve">Stage</t>
  </si>
  <si>
    <t xml:space="preserve">Owner/next artifact</t>
  </si>
  <si>
    <t xml:space="preserve">Reference calculator fidelity</t>
  </si>
  <si>
    <t xml:space="preserve">calculator reproducing Appendix B and Appendix R test vectors</t>
  </si>
  <si>
    <t xml:space="preserve">calculator-complete claim</t>
  </si>
  <si>
    <t xml:space="preserve">v10.6+</t>
  </si>
  <si>
    <t xml:space="preserve">Open technical/research task</t>
  </si>
  <si>
    <t xml:space="preserve">Formal schemas and validators</t>
  </si>
  <si>
    <t xml:space="preserve">PCC, Decision Note, TRC, Containment, RLS, SGP interface schemas</t>
  </si>
  <si>
    <t xml:space="preserve">machine-readable conformance checks</t>
  </si>
  <si>
    <t xml:space="preserve">Inter-rater reliability</t>
  </si>
  <si>
    <t xml:space="preserve">RF/NCRC and TRC/Containment/RLS/SGP/PCC reviewer study</t>
  </si>
  <si>
    <t xml:space="preserve">reviewer reliability evidence</t>
  </si>
  <si>
    <t xml:space="preserve">Reconstructability audit</t>
  </si>
  <si>
    <t xml:space="preserve">external reviewers replay decisions from PCC/Decision Note</t>
  </si>
  <si>
    <t xml:space="preserve">auditability-in-practice evidence</t>
  </si>
  <si>
    <t xml:space="preserve">pilot phase</t>
  </si>
  <si>
    <t xml:space="preserve">Boundary-gaming red teams</t>
  </si>
  <si>
    <t xml:space="preserve">subgroup, threshold, scenario, PLSS, maturity attacks</t>
  </si>
  <si>
    <t xml:space="preserve">anti-gaming evidence</t>
  </si>
  <si>
    <t xml:space="preserve">Shadow-mode pilots</t>
  </si>
  <si>
    <t xml:space="preserve">RIA, procurement, university AI policy, agent deployment cases</t>
  </si>
  <si>
    <t xml:space="preserve">operational usefulness evidence</t>
  </si>
  <si>
    <t xml:space="preserve">UCI and SGP measurement annexes</t>
  </si>
  <si>
    <t xml:space="preserve">named instruments, normalization, independence checks, biological batteries</t>
  </si>
  <si>
    <t xml:space="preserve">domain-specific measurement maturity</t>
  </si>
  <si>
    <t xml:space="preserve">RippleLogic Aligners Sheet v4.4 Triple-Pass Audit</t>
  </si>
  <si>
    <t xml:space="preserve">Audit date</t>
  </si>
  <si>
    <t xml:space="preserve">Source workbook</t>
  </si>
  <si>
    <t xml:space="preserve">RippleLogic_Aligners_Sheet_v4.4_FINAL.xlsx</t>
  </si>
  <si>
    <t xml:space="preserve">Source upgrade spec</t>
  </si>
  <si>
    <t xml:space="preserve">Release boundary governed by SHA-256 manifest and Methodology Summary; no separate upgrade spec bundled.</t>
  </si>
  <si>
    <t xml:space="preserve">Pass</t>
  </si>
  <si>
    <t xml:space="preserve">Focus</t>
  </si>
  <si>
    <t xml:space="preserve">Key outcome</t>
  </si>
  <si>
    <t xml:space="preserve">Pass 1</t>
  </si>
  <si>
    <t xml:space="preserve">Structural completeness</t>
  </si>
  <si>
    <t xml:space="preserve">PASS WITH PATCHES</t>
  </si>
  <si>
    <t xml:space="preserve">Required v4.4 sheets present; added/clarified machine-readiness and release-boundary language.</t>
  </si>
  <si>
    <t xml:space="preserve">Pass 2</t>
  </si>
  <si>
    <t xml:space="preserve">Calculability and sanity</t>
  </si>
  <si>
    <t xml:space="preserve">Formula-error scan found no live spreadsheet error tokens in computed sheets; sanity surfaces report all active checks PASS.</t>
  </si>
  <si>
    <t xml:space="preserve">Pass 3</t>
  </si>
  <si>
    <t xml:space="preserve">Claim safety and usefulness</t>
  </si>
  <si>
    <t xml:space="preserve">PASS WITH BOUNDARIES</t>
  </si>
  <si>
    <t xml:space="preserve">Workbook remains worked-run publishable only; ProofPack, Tier 4, empirical validation, machine-verifiable ecosystem, and reference-calculator claims remain prohibited.</t>
  </si>
  <si>
    <t xml:space="preserve">Issue</t>
  </si>
  <si>
    <t xml:space="preserve">Fix applied</t>
  </si>
  <si>
    <t xml:space="preserve">Residual status</t>
  </si>
  <si>
    <t xml:space="preserve">PCC rights display order differed from Canon order</t>
  </si>
  <si>
    <t xml:space="preserve">Release-clean</t>
  </si>
  <si>
    <t xml:space="preserve">Corrected display to LIFE, BODY, LBTY, NEED, DIGN, PROC, INFO, ECOL.</t>
  </si>
  <si>
    <t xml:space="preserve">Resolved</t>
  </si>
  <si>
    <t xml:space="preserve">v10_Sanity_Checklist used v10.2 IDs and shorthand version labels</t>
  </si>
  <si>
    <t xml:space="preserve">Renamed IDs and labels to v10.6 line and full pinned version language.</t>
  </si>
  <si>
    <t xml:space="preserve">Machine_Readiness over-implied bundled schemas/calculators/CI assets</t>
  </si>
  <si>
    <t xml:space="preserve">Claim safety</t>
  </si>
  <si>
    <t xml:space="preserve">Changed to manifest-dependent / v10.6 tooling-line / separate-annex wording.</t>
  </si>
  <si>
    <t xml:space="preserve">Schema sanity label risked implying full schema validation</t>
  </si>
  <si>
    <t xml:space="preserve">Clarified as schema blocking fail count, not repository-level schema validation.</t>
  </si>
  <si>
    <t xml:space="preserve">Publish-ready wording risked overclaim</t>
  </si>
  <si>
    <t xml:space="preserve">Reframed as worked-run publishable / worked-run publishability.</t>
  </si>
  <si>
    <t xml:space="preserve">Final disposition</t>
  </si>
  <si>
    <t xml:space="preserve">WORKED_RUN_PUBLISHABLE_CANDIDATE</t>
  </si>
  <si>
    <t xml:space="preserve">Not ProofPack-ready; not Tier 4-ready; not empirically validated; not machine-verifiable ecosystem-complete.</t>
  </si>
  <si>
    <t xml:space="preserve">Phase 1 hardening</t>
  </si>
  <si>
    <t xml:space="preserve">Verifier Gate</t>
  </si>
  <si>
    <t xml:space="preserve">Current pin block exactness</t>
  </si>
  <si>
    <t xml:space="preserve">Current surfaces must pin Canon v11.4, SGP v6.4, ripple.md v4.4, Agent v11.4, Primer v3.4, Sheet v4.4.</t>
  </si>
  <si>
    <t xml:space="preserve">No stale current-surface pins</t>
  </si>
  <si>
    <t xml:space="preserve">Prior-line wrapper pins may appear only in explicit lineage/changelog contexts, not current pin blocks, sanity checks, dashboards, PCC, or release integrity panels.</t>
  </si>
  <si>
    <t xml:space="preserve">Refuse deterministic selection semantics</t>
  </si>
  <si>
    <t xml:space="preserve">If FrameworkVerdict = REFUSE_DETERMINISTIC_SELECTION, DeterministicSelectionClaim must be NO and PCC language must not imply unique framework selection.</t>
  </si>
  <si>
    <t xml:space="preserve">Reality Grounding review semantics</t>
  </si>
  <si>
    <t xml:space="preserve">If RealityGroundingStatus is described as independently reviewed, Reviewer cannot be N/A; current exemplar is author/release self-reviewed, not independently verified.</t>
  </si>
  <si>
    <t xml:space="preserve">RippleLogic Aligners Sheet v4.4 Release Boundary</t>
  </si>
  <si>
    <t xml:space="preserve">Release role</t>
  </si>
  <si>
    <t xml:space="preserve">WORKED_RUN_EXEMPLAR</t>
  </si>
  <si>
    <t xml:space="preserve">Human-readable replay/training companion; not repository-level validator.</t>
  </si>
  <si>
    <t xml:space="preserve">Worked-run publishable</t>
  </si>
  <si>
    <t xml:space="preserve">Within declared two-option worked-run scope only.</t>
  </si>
  <si>
    <t xml:space="preserve">Requires schemas, validator, reference calculator, test vectors, replayable PCC artifacts, independent replay, and hash-pinned bundle.</t>
  </si>
  <si>
    <t xml:space="preserve">Tier 4 remains prohibited until independently replayable ProofPack exists.</t>
  </si>
  <si>
    <t xml:space="preserve">Empirically validated</t>
  </si>
  <si>
    <t xml:space="preserve">Requires completed pilots, methods disclosure, validation data, and external review.</t>
  </si>
  <si>
    <t xml:space="preserve">Requires manifest-listed schemas, validators, calculator, machine vectors, replay instructions, and CI/replay evidence.</t>
  </si>
  <si>
    <t xml:space="preserve">Reference-calculator complete</t>
  </si>
  <si>
    <t xml:space="preserve">Workbook is not the reference calculator; the post-core ProofPack-prep tooling line should provide this separately.</t>
  </si>
  <si>
    <t xml:space="preserve">UCI validated</t>
  </si>
  <si>
    <t xml:space="preserve">UCI_Maturity is provisional disclosure; validated UCI requires separate measurement annex and IRR evidence.</t>
  </si>
  <si>
    <t xml:space="preserve">Biological SGP measurement complete</t>
  </si>
  <si>
    <t xml:space="preserve">BioSGP_Maturity is disclosure/guardrail only; individualized biological scoring requires species-appropriate annexes and expert validation.</t>
  </si>
  <si>
    <t xml:space="preserve">False-precision guard</t>
  </si>
  <si>
    <t xml:space="preserve">Reviewer should inspect evidence-status tokens, maturity posture, and boundary-risk register before treating outputs as strong claims.</t>
  </si>
  <si>
    <t xml:space="preserve">Public wording</t>
  </si>
  <si>
    <t xml:space="preserve">WORKED-RUN PUBLISHABLE</t>
  </si>
  <si>
    <t xml:space="preserve">Avoid unqualified Publish Ready where it could imply ProofPack, Tier 4, empirical validation, or machine-verifiable readiness.</t>
  </si>
  <si>
    <t xml:space="preserve">Release-integrity patch</t>
  </si>
  <si>
    <t xml:space="preserve">APPLIED</t>
  </si>
  <si>
    <t xml:space="preserve">Workbook patched before GitHub upload for uncertainty labels, ReachBasisType enum, stewardship non-narrowing note, and Tier-2 containment-proxy wording.</t>
  </si>
  <si>
    <t xml:space="preserve">Uncertainty method C</t>
  </si>
  <si>
    <t xml:space="preserve">WORKED-RUN CONSTANT-SIGMA: Method C demonstration profile, not production-calibrated uncertainty.</t>
  </si>
  <si>
    <t xml:space="preserve">Demonstration surface only; not a production-calibrated uncertainty model.</t>
  </si>
  <si>
    <t xml:space="preserve">ReachBasisType enum</t>
  </si>
  <si>
    <t xml:space="preserve">Declared instance-share/exposure denominator is recorded by note, not by non-canonical enum.</t>
  </si>
  <si>
    <t xml:space="preserve">Stewardship note</t>
  </si>
  <si>
    <t xml:space="preserve">NON-NARROWING</t>
  </si>
  <si>
    <t xml:space="preserve">This worked-run does not imply stewardship is triggered only by MODE 2+ AI-agent deployments.</t>
  </si>
  <si>
    <t xml:space="preserve">Containment wording</t>
  </si>
  <si>
    <t xml:space="preserve">TIER-2 PROXY</t>
  </si>
  <si>
    <t xml:space="preserve">Workbook displays Tier-2 proxy diagnostics; full Containment Mode A is Tier-3 binding.</t>
  </si>
  <si>
    <t xml:space="preserve">GitHub status</t>
  </si>
  <si>
    <t xml:space="preserve">PATCH-CLEAN</t>
  </si>
  <si>
    <t xml:space="preserve">Manifest, SHA-256, and verification report regenerated and verified after final byte changes.</t>
  </si>
  <si>
    <t xml:space="preserve">decision_id</t>
  </si>
  <si>
    <t xml:space="preserve">option_id</t>
  </si>
  <si>
    <t xml:space="preserve">claim_scope</t>
  </si>
  <si>
    <t xml:space="preserve">decision_boundary</t>
  </si>
  <si>
    <t xml:space="preserve">reference_object</t>
  </si>
  <si>
    <t xml:space="preserve">physical_reference</t>
  </si>
  <si>
    <t xml:space="preserve">biological_reference</t>
  </si>
  <si>
    <t xml:space="preserve">social_reference</t>
  </si>
  <si>
    <t xml:space="preserve">ethical_rights_reference</t>
  </si>
  <si>
    <t xml:space="preserve">risk_reference</t>
  </si>
  <si>
    <t xml:space="preserve">governance_authority_reference</t>
  </si>
  <si>
    <t xml:space="preserve">epistemic_reference</t>
  </si>
  <si>
    <t xml:space="preserve">operational_audit_reference</t>
  </si>
  <si>
    <t xml:space="preserve">invariant_constraints</t>
  </si>
  <si>
    <t xml:space="preserve">causal_pathway</t>
  </si>
  <si>
    <t xml:space="preserve">evidence_status_token</t>
  </si>
  <si>
    <t xml:space="preserve">measurement_maturity_status</t>
  </si>
  <si>
    <t xml:space="preserve">adaptation_boundary</t>
  </si>
  <si>
    <t xml:space="preserve">authority_boundary</t>
  </si>
  <si>
    <t xml:space="preserve">refusal_trigger</t>
  </si>
  <si>
    <t xml:space="preserve">reviewer_status</t>
  </si>
  <si>
    <t xml:space="preserve">artifact_hash</t>
  </si>
  <si>
    <t xml:space="preserve">PENDING_REVIEW</t>
  </si>
  <si>
    <t xml:space="preserve">OPTION-A</t>
  </si>
  <si>
    <t xml:space="preserve">Tier 2 worked-run exemplar / internal organizational policy decision</t>
  </si>
  <si>
    <t xml:space="preserve">Remote work policy A vs B; organization context; excludes legal-compliance, deployment-readiness, empirical-validation, ProofPack, and Tier 4 claims.</t>
  </si>
  <si>
    <t xml:space="preserve">Remote work policy implementation decision evaluated against RippleLogic v10.6 RSP, RF/NCRC and TRC/Containment/RLS/UCI-HOI, PCC, and workbook evidence surfaces.</t>
  </si>
  <si>
    <t xml:space="preserve">Workspace, commuting, emissions, digital infrastructure, and operational resource constraints.</t>
  </si>
  <si>
    <t xml:space="preserve">Worker health, stress, fatigue, safety, and basic needs effects.</t>
  </si>
  <si>
    <t xml:space="preserve">Team cohesion, trust, coordination, inclusion, and relational impacts.</t>
  </si>
  <si>
    <t xml:space="preserve">NCRC rights baseline: LIFE, BODY, LBTY, NEED, DIGN, PROC, INFO, ECOL; no rights-floor tradeoff permitted.</t>
  </si>
  <si>
    <t xml:space="preserve">TRC catastrophic corridor and WTSL scenario set with CVaR threshold 0.20.</t>
  </si>
  <si>
    <t xml:space="preserve">Organizational policy authority only; no public-law, legal-compliance, or regulatory approval claim.</t>
  </si>
  <si>
    <t xml:space="preserve">Workbook worked-run inputs, declared uncertainty method C, evidence-status tokens, and reviewer challenge surface.</t>
  </si>
  <si>
    <t xml:space="preserve">PCC, ProjectionPreRegistration, ExecutionStability, TransitionAdmissibility, FalsificationPlan, ObservableConsequences, and ReferenceStructureRecord sheet.</t>
  </si>
  <si>
    <t xml:space="preserve">No NCRC, TRC, Containment, Refusal, rights-floor, or lawful-authority boundary may be overridden by RLS, local convenience, model confidence, or policy permission.</t>
  </si>
  <si>
    <t xml:space="preserve">Remote work changes flexibility, commuting burden, emissions, collaboration patterns, autonomy, burnout risk, and knowledge-sharing dynamics; monitoring checks for predicted versus observed effects.</t>
  </si>
  <si>
    <t xml:space="preserve">Worked-run exemplar inputs from the aligned workbook; no empirical validation claim.</t>
  </si>
  <si>
    <t xml:space="preserve">Materially worse cohesion, rights impacts, productivity, burnout, information access, due process, or tail-risk indicators than the declared monitoring thresholds would falsify or force revision of the claim.</t>
  </si>
  <si>
    <t xml:space="preserve">Policy details, monitoring cadence, mitigation steps, and option weighting may adapt; canonical cascade order, rights floors, tail-risk corridor, containment rule, and claim-boundary discipline may not adapt inside the run.</t>
  </si>
  <si>
    <t xml:space="preserve">Advisory organizational decision support only; no legal, public-governance, deployment-readiness, or compliance certification.</t>
  </si>
  <si>
    <t xml:space="preserve">Trigger Refusal or escalation if reference object, evidence status, falsification condition, authority boundary, rights floor, TRC corridor, or containment basis becomes materially underdetermined, circular, self-validating, unsupported, or stale.</t>
  </si>
  <si>
    <t xml:space="preserve">See final release manifest SHA-256 for workbook and companion artifacts.</t>
  </si>
  <si>
    <t xml:space="preserve">v10.6 RSP integration row for worked-run exemplar.</t>
  </si>
  <si>
    <t xml:space="preserve">APPROVED</t>
  </si>
  <si>
    <t xml:space="preserve">MODEL_BOUND</t>
  </si>
  <si>
    <t xml:space="preserve">REVISE</t>
  </si>
  <si>
    <t xml:space="preserve">PILOT_ONLY</t>
  </si>
  <si>
    <t xml:space="preserve">REFUSAL_OR_ESCALATION_REQUIRED</t>
  </si>
  <si>
    <t xml:space="preserve">GUIDANCE_STAGE</t>
  </si>
  <si>
    <t xml:space="preserve">ReferenceStructureRecord template. Complete one row per decision option or option set when a RippleLogic run requires reference-structure auditability.</t>
  </si>
  <si>
    <t xml:space="preserve">Purpose: declare what the decision is evaluated against before claiming admissibility, causality, stability, welfare, auditability, conformance, or deployment readiness.</t>
  </si>
  <si>
    <t xml:space="preserve">Sanity rule: if reference_object, evidence_status_token, or falsification_condition is blank, the row is INCOMPLETE.</t>
  </si>
  <si>
    <t xml:space="preserve">MathGov framework / RippleLogic v10.8 + SGP v5.5 Aligners Sheet Update</t>
  </si>
  <si>
    <t xml:space="preserve">History note</t>
  </si>
  <si>
    <t xml:space="preserve">This sheet is historical lineage only. Current active pins are Canon v11.4 / SGP v6.4 / ripple.md v4.4 / Agent v11.4 / Primer v3.4 / Sheet v4.4.</t>
  </si>
  <si>
    <t xml:space="preserve">Workbook effect</t>
  </si>
  <si>
    <t xml:space="preserve">Version bump</t>
  </si>
  <si>
    <t xml:space="preserve">Aligners Sheet v3.6 aligned to RippleLogic v10.8 and SGP v5.5</t>
  </si>
  <si>
    <t xml:space="preserve">Updates live identity surfaces and adds new diagnostic sheets</t>
  </si>
  <si>
    <t xml:space="preserve">Still worked-run exemplar only; not ProofPack or validator</t>
  </si>
  <si>
    <t xml:space="preserve">COMPUTABLE_BUT_INADMISSIBLE</t>
  </si>
  <si>
    <t xml:space="preserve">Computed value exists but cannot support a decision or claim</t>
  </si>
  <si>
    <t xml:space="preserve">Logged as audit concept and optional review state</t>
  </si>
  <si>
    <t xml:space="preserve">Cannot authorize selection, deployment, or conformance</t>
  </si>
  <si>
    <t xml:space="preserve">Layer-specific falsification</t>
  </si>
  <si>
    <t xml:space="preserve">Each layer has its own falsifier and required response</t>
  </si>
  <si>
    <t xml:space="preserve">Implemented as a reviewer reference table</t>
  </si>
  <si>
    <t xml:space="preserve">Does not alter canonical cascade</t>
  </si>
  <si>
    <t xml:space="preserve">Reference / preference / number discipline</t>
  </si>
  <si>
    <t xml:space="preserve">Evidence source, measurement reference, governance preference, numerical representation, and public claim remain separate</t>
  </si>
  <si>
    <t xml:space="preserve">Supported through reference-structure review</t>
  </si>
  <si>
    <t xml:space="preserve">No external ontology imported</t>
  </si>
  <si>
    <t xml:space="preserve">Adaptive Reserve</t>
  </si>
  <si>
    <t xml:space="preserve">Optional diagnostic for slack, redundancy, recovery, and saturation risk</t>
  </si>
  <si>
    <t xml:space="preserve">Added as a diagnostic sheet</t>
  </si>
  <si>
    <t xml:space="preserve">Not a sixth gate; cannot rescue failed RF/NCRC and TRC/Containment</t>
  </si>
  <si>
    <t xml:space="preserve">Preserved method</t>
  </si>
  <si>
    <t xml:space="preserve">Reality Grounding -&gt; Rights Floor -&gt; Tail-Risk Bound -&gt; Containment -&gt; Ripple Score; formal method RSG -&gt; RF/NCRC -&gt; TRC -&gt; CSV -&gt; RLS; UCI/HOI special-case only</t>
  </si>
  <si>
    <t xml:space="preserve">Preserved SGP boundary</t>
  </si>
  <si>
    <t xml:space="preserve">Protection, standing, participation, and authority remain separate</t>
  </si>
  <si>
    <t xml:space="preserve">Preserved PLSS boundary</t>
  </si>
  <si>
    <t xml:space="preserve">Residual-ranking-only, never admissibility weakening</t>
  </si>
  <si>
    <t xml:space="preserve">Preserved release boundary</t>
  </si>
  <si>
    <t xml:space="preserve">No Tier 4, ProofPack, empirical-validation, legal-compliance, deployment-certification, completed biological-SGP, or current-AI-sentience claim</t>
  </si>
  <si>
    <t xml:space="preserve">Training, worked-run illustration, early pilot explanation, and spreadsheet demonstration</t>
  </si>
  <si>
    <t xml:space="preserve">Not a use case</t>
  </si>
  <si>
    <t xml:space="preserve">Legal compliance certification, validator, reference calculator, or deployment proof</t>
  </si>
  <si>
    <t xml:space="preserve">Current artifact role</t>
  </si>
  <si>
    <t xml:space="preserve">Aligned worked-run companion</t>
  </si>
  <si>
    <t xml:space="preserve">Next maturity path</t>
  </si>
  <si>
    <t xml:space="preserve">Schemas, validator, reference calculator, canonical vectors, independent replay</t>
  </si>
  <si>
    <t xml:space="preserve">Update date</t>
  </si>
  <si>
    <t xml:space="preserve">Layer-specific falsification matrix</t>
  </si>
  <si>
    <t xml:space="preserve">Layer</t>
  </si>
  <si>
    <t xml:space="preserve">Layer-specific falsifier</t>
  </si>
  <si>
    <t xml:space="preserve">Does not by itself falsify</t>
  </si>
  <si>
    <t xml:space="preserve">Rights-floor breach, unresolved rights uncertainty, or missing rights evidence</t>
  </si>
  <si>
    <t xml:space="preserve">RLS arithmetic or UCI/HOI diagnostics</t>
  </si>
  <si>
    <t xml:space="preserve">Reject, refuse, or escalate</t>
  </si>
  <si>
    <t xml:space="preserve">CVaR or catastrophe-tail exposure exceeds threshold, or scenario evidence insufficient</t>
  </si>
  <si>
    <t xml:space="preserve">NCRC analysis</t>
  </si>
  <si>
    <t xml:space="preserve">Reject or escalate; do not compensate with RLS</t>
  </si>
  <si>
    <t xml:space="preserve">Local gain degrades containing systems beyond tolerance</t>
  </si>
  <si>
    <t xml:space="preserve">Rights or tail-risk verdicts</t>
  </si>
  <si>
    <t xml:space="preserve">Reject as selectable; record rationale</t>
  </si>
  <si>
    <t xml:space="preserve">Wrong cells, weights, evidence grade, aggregation, or sensitivity posture</t>
  </si>
  <si>
    <t xml:space="preserve">Admissibility gate outcomes</t>
  </si>
  <si>
    <t xml:space="preserve">Recompute or mark non-decisive</t>
  </si>
  <si>
    <t xml:space="preserve">UCI/HOI</t>
  </si>
  <si>
    <t xml:space="preserve">Structural metric evidence, normalization, or tie-break use defective</t>
  </si>
  <si>
    <t xml:space="preserve">RF/NCRC and TRC/Containment/RLS by itself</t>
  </si>
  <si>
    <t xml:space="preserve">Recompute diagnostic or remove tie-break claim</t>
  </si>
  <si>
    <t xml:space="preserve">PCC / audit</t>
  </si>
  <si>
    <t xml:space="preserve">Missing provenance, closure, evidence, reviewer trace, or claim boundary</t>
  </si>
  <si>
    <t xml:space="preserve">Underlying ethical truth of situation</t>
  </si>
  <si>
    <t xml:space="preserve">Invalidate conformance claim until repaired</t>
  </si>
  <si>
    <t xml:space="preserve">SGP interface</t>
  </si>
  <si>
    <t xml:space="preserve">SGP output lacks evidence tier, scoring version, reviewer status, uncertainty, or maturity boundary</t>
  </si>
  <si>
    <t xml:space="preserve">NCRC, TRC, Containment, lawful authority, governance-role requirements</t>
  </si>
  <si>
    <t xml:space="preserve">Treat as evidence limitation; no override</t>
  </si>
  <si>
    <t xml:space="preserve">Adaptive Reserve / Saturation Diagnostic</t>
  </si>
  <si>
    <t xml:space="preserve">Reserve domain</t>
  </si>
  <si>
    <t xml:space="preserve">Institutional / team attention / operational capacity</t>
  </si>
  <si>
    <t xml:space="preserve">Customize by case</t>
  </si>
  <si>
    <t xml:space="preserve">Baseline reserve</t>
  </si>
  <si>
    <t xml:space="preserve">Not quantified in v4.4 worked-run</t>
  </si>
  <si>
    <t xml:space="preserve">Diagnostic not decisive</t>
  </si>
  <si>
    <t xml:space="preserve">Projected reserve after option</t>
  </si>
  <si>
    <t xml:space="preserve">Adequate / monitor</t>
  </si>
  <si>
    <t xml:space="preserve">Replace with evidence in real run</t>
  </si>
  <si>
    <t xml:space="preserve">Redundancy state</t>
  </si>
  <si>
    <t xml:space="preserve">Partial redundancy preserved</t>
  </si>
  <si>
    <t xml:space="preserve">Document staff/process backup</t>
  </si>
  <si>
    <t xml:space="preserve">Recovery path</t>
  </si>
  <si>
    <t xml:space="preserve">Rollback and policy review available</t>
  </si>
  <si>
    <t xml:space="preserve">Record actual rollback mechanism</t>
  </si>
  <si>
    <t xml:space="preserve">Reversibility</t>
  </si>
  <si>
    <t xml:space="preserve">Medium-high</t>
  </si>
  <si>
    <t xml:space="preserve">Score only if evidence exists</t>
  </si>
  <si>
    <t xml:space="preserve">Saturation risk</t>
  </si>
  <si>
    <t xml:space="preserve">LOW_REVIEW</t>
  </si>
  <si>
    <t xml:space="preserve">Escalate if reserve thin</t>
  </si>
  <si>
    <t xml:space="preserve">Decision effect</t>
  </si>
  <si>
    <t xml:space="preserve">Review signal only</t>
  </si>
  <si>
    <t xml:space="preserve">Not a sixth gate</t>
  </si>
  <si>
    <t xml:space="preserve">Cannot rescue failed gates</t>
  </si>
  <si>
    <t xml:space="preserve">TRUE</t>
  </si>
  <si>
    <t xml:space="preserve">RF/NCRC and TRC/Containment remain controlling</t>
  </si>
  <si>
    <t xml:space="preserve">MathGov Core Release 2026.09 / Aligners v4.4 RF Clarity, Structural Viability, and Falsification Discipline Patch; carries forward Term Discrimination and Semantic Stability controls</t>
  </si>
  <si>
    <t xml:space="preserve">Decision Effect</t>
  </si>
  <si>
    <t xml:space="preserve">FrameworkVerdict</t>
  </si>
  <si>
    <t xml:space="preserve">The framework refuses to claim unique deterministic selection.</t>
  </si>
  <si>
    <t xml:space="preserve">Prevents non-decisive score from being treated as final framework choice.</t>
  </si>
  <si>
    <t xml:space="preserve">AdmissibleOptionSet</t>
  </si>
  <si>
    <t xml:space="preserve">Options that passed Rights Floor (formal NCRC), TRC, and Tier-2 containment diagnostic.</t>
  </si>
  <si>
    <t xml:space="preserve">Human/institutional choice may occur only after disclosure.</t>
  </si>
  <si>
    <t xml:space="preserve">DeterministicSelectionClaim</t>
  </si>
  <si>
    <t xml:space="preserve">No unique technical framework selection is claimed.</t>
  </si>
  <si>
    <t xml:space="preserve">Blocks overclaiming.</t>
  </si>
  <si>
    <t xml:space="preserve">Documented authority/judgment selection among admissible options.</t>
  </si>
  <si>
    <t xml:space="preserve">Separate from FrameworkVerdict.</t>
  </si>
  <si>
    <t xml:space="preserve">AuthorityBasis</t>
  </si>
  <si>
    <t xml:space="preserve">Tier 2 evaluator judgment under disclosed non-decisiveness</t>
  </si>
  <si>
    <t xml:space="preserve">Reason for choosing A despite non-decisive framework ranking.</t>
  </si>
  <si>
    <t xml:space="preserve">Requires disclosure.</t>
  </si>
  <si>
    <t xml:space="preserve">CoverageStatusPolicy</t>
  </si>
  <si>
    <t xml:space="preserve">VALUE | ESTIMATE | ASSUMPTION | BLANK_BY_DESIGN | DECLARED_UNKNOWN | NOT_APPLICABLE | MISSING_UNDECLARED</t>
  </si>
  <si>
    <t xml:space="preserve">Required inputs must not silently become zero.</t>
  </si>
  <si>
    <t xml:space="preserve">Unknowns trigger review/refusal/escalation when material.</t>
  </si>
  <si>
    <t xml:space="preserve">ProjectionFreezeVisibility</t>
  </si>
  <si>
    <t xml:space="preserve">ProjectionPreRegistration present as a companion sheet</t>
  </si>
  <si>
    <t xml:space="preserve">Scenarios, weights, thresholds, uncertainty assumptions and refusal conditions should be frozen for claim-bearing runs.</t>
  </si>
  <si>
    <t xml:space="preserve">Post-observation changes create a new run boundary.</t>
  </si>
  <si>
    <t xml:space="preserve">FalsificationClasses</t>
  </si>
  <si>
    <t xml:space="preserve">DATA_FAILURE | PROJECTION_FAILURE | PARAMETER_FAILURE | OPERATOR_FAILURE | PRIMITIVE_CHALLENGE | GOVERNANCE_FAILURE | COMMUNICATION_FAILURE</t>
  </si>
  <si>
    <t xml:space="preserve">Failure must be attributed to the correct layer.</t>
  </si>
  <si>
    <t xml:space="preserve">Prevents over-collapse or over-rescue.</t>
  </si>
  <si>
    <t xml:space="preserve">Worked-run exemplar, not validator / ProofPack / Tier-4 / empirical validation</t>
  </si>
  <si>
    <t xml:space="preserve">The workbook demonstrates the architecture only.</t>
  </si>
  <si>
    <t xml:space="preserve">Preserves non-claims.</t>
  </si>
  <si>
    <t xml:space="preserve">Verdict Logic</t>
  </si>
  <si>
    <t xml:space="preserve">BLOCK</t>
  </si>
  <si>
    <t xml:space="preserve">Non-negotiable gate failure or no admissible options remain.</t>
  </si>
  <si>
    <t xml:space="preserve">Do not proceed under claimed posture.</t>
  </si>
  <si>
    <t xml:space="preserve">Admissible option set remains non-unique or selection evidence is insufficient/non-decisive.</t>
  </si>
  <si>
    <t xml:space="preserve">May support separate authority selection.</t>
  </si>
  <si>
    <t xml:space="preserve">ALLOW_FRAMEWORK_SELECTION</t>
  </si>
  <si>
    <t xml:space="preserve">One uniquely claimable option is produced by gates, scoring, tie-breaks, and evidence sufficiency.</t>
  </si>
  <si>
    <t xml:space="preserve">Framework may claim technical selection.</t>
  </si>
  <si>
    <t xml:space="preserve">Higher-tier evidence, expert review, stakeholder challenge, or authority needed.</t>
  </si>
  <si>
    <t xml:space="preserve">Proceed only after required review.</t>
  </si>
  <si>
    <t xml:space="preserve">Copyright-safe note</t>
  </si>
  <si>
    <t xml:space="preserve">MathGov-native hardening layer</t>
  </si>
  <si>
    <t xml:space="preserve">No external proprietary text, equation, ontology, or framework dependency is imported.</t>
  </si>
  <si>
    <t xml:space="preserve">Independent implementation within RippleLogic architecture.</t>
  </si>
  <si>
    <t xml:space="preserve">Release delta</t>
  </si>
  <si>
    <t xml:space="preserve">v4.4 -&gt; v4.4</t>
  </si>
  <si>
    <t xml:space="preserve">Adds verdict semantics and authority-selection separation.</t>
  </si>
  <si>
    <t xml:space="preserve">No cascade/equation/rights/TRC/Containment change.</t>
  </si>
  <si>
    <t xml:space="preserve">VERDICT ENGINE (computed live from CANON cascade cells)</t>
  </si>
  <si>
    <t xml:space="preserve">Option_A_admissible</t>
  </si>
  <si>
    <t xml:space="preserve">Option_B_admissible</t>
  </si>
  <si>
    <t xml:space="preserve">Admissible_count</t>
  </si>
  <si>
    <t xml:space="preserve">RLS_decisive</t>
  </si>
  <si>
    <t xml:space="preserve">Escalation_required</t>
  </si>
  <si>
    <t xml:space="preserve">Computed_FrameworkVerdict</t>
  </si>
  <si>
    <t xml:space="preserve">Computed_AdmissibleSet</t>
  </si>
  <si>
    <t xml:space="preserve">Computed_DeterministicClaim</t>
  </si>
  <si>
    <t xml:space="preserve">MathGov framework / RippleLogic Core Release 2026.09 - Version Semantics</t>
  </si>
  <si>
    <t xml:space="preserve">Release Effect</t>
  </si>
  <si>
    <t xml:space="preserve">Repository package line</t>
  </si>
  <si>
    <t xml:space="preserve">Controls package identity</t>
  </si>
  <si>
    <t xml:space="preserve">Complete Ready, CSV Upgrade, and Falsification Discipline Patch</t>
  </si>
  <si>
    <t xml:space="preserve">Release scope</t>
  </si>
  <si>
    <t xml:space="preserve">Makes Rights Floor (RF) the public Layer 2 label while preserving NCRC as the formal constraint; carries forward CSV, structural viability, falsification discipline, and v11.0 semantic-stability controls.</t>
  </si>
  <si>
    <t xml:space="preserve">Governing Canon</t>
  </si>
  <si>
    <t xml:space="preserve">Controls cascade semantics and normative hierarchy</t>
  </si>
  <si>
    <t xml:space="preserve">Moral-status/protection protocol</t>
  </si>
  <si>
    <t xml:space="preserve">Controls SGP scalar/status interface</t>
  </si>
  <si>
    <t xml:space="preserve">Portable standard</t>
  </si>
  <si>
    <t xml:space="preserve">ripple.md Standard v4.4</t>
  </si>
  <si>
    <t xml:space="preserve">Wrapper standard</t>
  </si>
  <si>
    <t xml:space="preserve">Controls Decision Note and portable assurance records</t>
  </si>
  <si>
    <t xml:space="preserve">Agent system</t>
  </si>
  <si>
    <t xml:space="preserve">Runtime companion</t>
  </si>
  <si>
    <t xml:space="preserve">Controls agent hard-control and audit behavior</t>
  </si>
  <si>
    <t xml:space="preserve">Primer</t>
  </si>
  <si>
    <t xml:space="preserve">Foundations Primer v3.4</t>
  </si>
  <si>
    <t xml:space="preserve">Informative doorway</t>
  </si>
  <si>
    <t xml:space="preserve">Explains v11.4 for humans</t>
  </si>
  <si>
    <t xml:space="preserve">Workbook</t>
  </si>
  <si>
    <t xml:space="preserve">Aligners Sheet v4.4</t>
  </si>
  <si>
    <t xml:space="preserve">Worked-run companion</t>
  </si>
  <si>
    <t xml:space="preserve">Provides auditable example/calculation surface</t>
  </si>
  <si>
    <t xml:space="preserve">Formal method</t>
  </si>
  <si>
    <t xml:space="preserve">RSG -&gt; RF/NCRC -&gt; TRC -&gt; CSV -&gt; RLS</t>
  </si>
  <si>
    <t xml:space="preserve">Canonical formal shorthand</t>
  </si>
  <si>
    <t xml:space="preserve">No change from v10.8 formal ordering</t>
  </si>
  <si>
    <t xml:space="preserve">Public method</t>
  </si>
  <si>
    <t xml:space="preserve">Reality Grounding -&gt; Rights Floor -&gt; Tail-Risk Bound -&gt; Containment -&gt; Ripple Score</t>
  </si>
  <si>
    <t xml:space="preserve">Human-readable method</t>
  </si>
  <si>
    <t xml:space="preserve">No sixth public gate</t>
  </si>
  <si>
    <t xml:space="preserve">Term Discrimination placement</t>
  </si>
  <si>
    <t xml:space="preserve">Inside Category Grounding inside Reality Grounding when material</t>
  </si>
  <si>
    <t xml:space="preserve">Semantic-stability discipline</t>
  </si>
  <si>
    <t xml:space="preserve">Prevents term collapse before claims/execution</t>
  </si>
  <si>
    <t xml:space="preserve">Do-not-collapse role</t>
  </si>
  <si>
    <t xml:space="preserve">Blocks category, term, and authority collapse</t>
  </si>
  <si>
    <t xml:space="preserve">Anti-Goodhart / anti-laundering guardrail</t>
  </si>
  <si>
    <t xml:space="preserve">Prevents score, permission, certification, monitoring, or authority misuse</t>
  </si>
  <si>
    <t xml:space="preserve">Tier 4 posture</t>
  </si>
  <si>
    <t xml:space="preserve">Design target only</t>
  </si>
  <si>
    <t xml:space="preserve">Not claimable without independently replayable ProofPack</t>
  </si>
  <si>
    <t xml:space="preserve">Hash posture</t>
  </si>
  <si>
    <t xml:space="preserve">External release manifest controls final hashes</t>
  </si>
  <si>
    <t xml:space="preserve">Release integrity</t>
  </si>
  <si>
    <t xml:space="preserve">Regenerate SHA256SUMS last after final edits</t>
  </si>
  <si>
    <t xml:space="preserve">No architecture change</t>
  </si>
  <si>
    <t xml:space="preserve">No changes to NCRC, TRC, RLS, PLSS, or SGP admissibility boundaries; Containment includes SVC where material.</t>
  </si>
  <si>
    <t xml:space="preserve">Compatibility statement</t>
  </si>
  <si>
    <t xml:space="preserve">v11.4 is structural-viability and falsification hardening without a sixth public gate.</t>
  </si>
  <si>
    <t xml:space="preserve">Release status</t>
  </si>
  <si>
    <t xml:space="preserve">v4.4 workbook companion for v11.4 core line</t>
  </si>
  <si>
    <t xml:space="preserve">Publication readiness</t>
  </si>
  <si>
    <t xml:space="preserve">Ready after final package hash verification</t>
  </si>
  <si>
    <t xml:space="preserve">RIPPLELOGIC v11.4 / ALIGNERS v4.4 UPDATE</t>
  </si>
  <si>
    <t xml:space="preserve">RF Clarity, Structural Viability, and Falsification Discipline Patch</t>
  </si>
  <si>
    <t xml:space="preserve">New selectability subcheck</t>
  </si>
  <si>
    <t xml:space="preserve">Structural Viability inside Containment where material; not a sixth public gate</t>
  </si>
  <si>
    <t xml:space="preserve">Carried-forward semantic discipline</t>
  </si>
  <si>
    <t xml:space="preserve">Term Discrimination inside Category Grounding inside Reality Grounding when material</t>
  </si>
  <si>
    <t xml:space="preserve">New/visible sheets</t>
  </si>
  <si>
    <t xml:space="preserve">Structural_Viability; Term_Discrimination; Do_Not_Collapse</t>
  </si>
  <si>
    <t xml:space="preserve">No change to NCRC, TRC, RLS, PLSS, or SGP admissibility boundaries; Containment includes SVC where material</t>
  </si>
  <si>
    <t xml:space="preserve">Worked-run companion only; not ProofPack, validator, legal certification, deployment certification, or Tier 4</t>
  </si>
  <si>
    <t xml:space="preserve">Verification note</t>
  </si>
  <si>
    <t xml:space="preserve">Final release package must regenerate SHA256SUMS after all file edits</t>
  </si>
  <si>
    <t xml:space="preserve">Formula delta note</t>
  </si>
  <si>
    <t xml:space="preserve">v11.4 adds SVC documentation/formula surface and release-hardening surfaces. Core RF/NCRC and TRC/RLS math remains inherited; Containment now explicitly includes Structural Viability selectability checks.</t>
  </si>
  <si>
    <t xml:space="preserve">FORMULA MAP - v4.4</t>
  </si>
  <si>
    <t xml:space="preserve">Sheet</t>
  </si>
  <si>
    <t xml:space="preserve">Key ranges</t>
  </si>
  <si>
    <t xml:space="preserve">Formula role</t>
  </si>
  <si>
    <t xml:space="preserve">Editable inputs</t>
  </si>
  <si>
    <t xml:space="preserve">A1:X20</t>
  </si>
  <si>
    <t xml:space="preserve">Primary declared impact instances</t>
  </si>
  <si>
    <t xml:space="preserve">Impact-instance rows and declared parameters</t>
  </si>
  <si>
    <t xml:space="preserve">Feeds I_prop, NCRC, TRC, CSV, RLS worked-run surfaces</t>
  </si>
  <si>
    <t xml:space="preserve">A1:H24</t>
  </si>
  <si>
    <t xml:space="preserve">Propagated welfare/base impact surfaces</t>
  </si>
  <si>
    <t xml:space="preserve">No formula edits in release workbook</t>
  </si>
  <si>
    <t xml:space="preserve">7x7 welfare matrix view</t>
  </si>
  <si>
    <t xml:space="preserve">A1:I21</t>
  </si>
  <si>
    <t xml:space="preserve">Rights-floor pass/fail checks</t>
  </si>
  <si>
    <t xml:space="preserve">Threshold/config inputs only</t>
  </si>
  <si>
    <t xml:space="preserve">Non-compensatory gate; cannot be rescued by RLS</t>
  </si>
  <si>
    <t xml:space="preserve">A1:U48</t>
  </si>
  <si>
    <t xml:space="preserve">Scenario loss, sorted tail, CVaR checks</t>
  </si>
  <si>
    <t xml:space="preserve">Scenario library/probability policy where governed</t>
  </si>
  <si>
    <t xml:space="preserve">Pass within declared scenario library and tau_TRC</t>
  </si>
  <si>
    <t xml:space="preserve">A1:H19</t>
  </si>
  <si>
    <t xml:space="preserve">CSV status ladder and diagnostic concern scale</t>
  </si>
  <si>
    <t xml:space="preserve">Declared CSV reviewer notes</t>
  </si>
  <si>
    <t xml:space="preserve">CSV = Containment and Structural Viability; not a purity filter</t>
  </si>
  <si>
    <t xml:space="preserve">A1:L35</t>
  </si>
  <si>
    <t xml:space="preserve">Containment proxy diagnostic for Tier-2 worked run</t>
  </si>
  <si>
    <t xml:space="preserve">Declared containment inputs/reviewer notes</t>
  </si>
  <si>
    <t xml:space="preserve">Legacy computational surface now interpreted under CSV</t>
  </si>
  <si>
    <t xml:space="preserve">A1:E14</t>
  </si>
  <si>
    <t xml:space="preserve">SVC material selectability subcheck inside CSV</t>
  </si>
  <si>
    <t xml:space="preserve">PASS/FAIL/UNKNOWN/NOT_MATERIAL subcheck statuses</t>
  </si>
  <si>
    <t xml:space="preserve">Feeds dashboard/PCC claim-boundary interpretation before RLS</t>
  </si>
  <si>
    <t xml:space="preserve">A1:I64</t>
  </si>
  <si>
    <t xml:space="preserve">Residual welfare ranking and non-decisive display</t>
  </si>
  <si>
    <t xml:space="preserve">Weights/uncertainty config only</t>
  </si>
  <si>
    <t xml:space="preserve">RLS ranks only selectable options after CSV</t>
  </si>
  <si>
    <t xml:space="preserve">A1:J70</t>
  </si>
  <si>
    <t xml:space="preserve">Summary display and release gates</t>
  </si>
  <si>
    <t xml:space="preserve">No formula edits recommended</t>
  </si>
  <si>
    <t xml:space="preserve">Framework verdict and authority selection remain separate</t>
  </si>
  <si>
    <t xml:space="preserve">A1:H240</t>
  </si>
  <si>
    <t xml:space="preserve">Audit record and claim boundary</t>
  </si>
  <si>
    <t xml:space="preserve">Reviewer/compliance notes</t>
  </si>
  <si>
    <t xml:space="preserve">Worked-run claimable; not ProofPack</t>
  </si>
  <si>
    <t xml:space="preserve">Term_Discrimination</t>
  </si>
  <si>
    <t xml:space="preserve">A1:K13</t>
  </si>
  <si>
    <t xml:space="preserve">Material-term discriminator records</t>
  </si>
  <si>
    <t xml:space="preserve">Reviewer-owned term fields</t>
  </si>
  <si>
    <t xml:space="preserve">Inside Category Grounding and Reality Grounding</t>
  </si>
  <si>
    <t xml:space="preserve">v11_4_Complete_Ready</t>
  </si>
  <si>
    <t xml:space="preserve">A1:B15</t>
  </si>
  <si>
    <t xml:space="preserve">Release update overview</t>
  </si>
  <si>
    <t xml:space="preserve">None</t>
  </si>
  <si>
    <t xml:space="preserve">Explains v11.4 CSV upgrade and workbook formula posture</t>
  </si>
  <si>
    <t xml:space="preserve">CSV GATE v4.4 - Containment and Structural Viability</t>
  </si>
  <si>
    <t xml:space="preserve">Cascade</t>
  </si>
  <si>
    <t xml:space="preserve">CSV is not a purity filter; it routes detected harms and blocks only uncontained, non-viable, hidden, unjustly externalized, lock-in-producing, or structurally degrading harms. RF means Rights Floor; formal NCRC must pass before CSV and RLS.</t>
  </si>
  <si>
    <t xml:space="preserve">CSV status</t>
  </si>
  <si>
    <t xml:space="preserve">Selection consequence</t>
  </si>
  <si>
    <t xml:space="preserve">RLS routing</t>
  </si>
  <si>
    <t xml:space="preserve">Controls binding?</t>
  </si>
  <si>
    <t xml:space="preserve">Emergency allowed?</t>
  </si>
  <si>
    <t xml:space="preserve">Example</t>
  </si>
  <si>
    <t xml:space="preserve">CSV_PASS</t>
  </si>
  <si>
    <t xml:space="preserve">Harms contained; structural viability adequate</t>
  </si>
  <si>
    <t xml:space="preserve">Selectable if RF/NCRC and TRC passed</t>
  </si>
  <si>
    <t xml:space="preserve">Residual harms carry into RLS</t>
  </si>
  <si>
    <t xml:space="preserve">No</t>
  </si>
  <si>
    <t xml:space="preserve">Ordinary pass</t>
  </si>
  <si>
    <t xml:space="preserve">Battery backup feasible</t>
  </si>
  <si>
    <t xml:space="preserve">CSV_PASS_WITH_CONTROLS</t>
  </si>
  <si>
    <t xml:space="preserve">Selectable only with declared controls</t>
  </si>
  <si>
    <t xml:space="preserve">Selectable as controlled option only</t>
  </si>
  <si>
    <t xml:space="preserve">Yes</t>
  </si>
  <si>
    <t xml:space="preserve">Controls are part of the option</t>
  </si>
  <si>
    <t xml:space="preserve">Outdoor generator with limits</t>
  </si>
  <si>
    <t xml:space="preserve">CSV_REDESIGN_REQUIRED</t>
  </si>
  <si>
    <t xml:space="preserve">Too harmful/non-viable as specified but fixable</t>
  </si>
  <si>
    <t xml:space="preserve">Not selectable as specified</t>
  </si>
  <si>
    <t xml:space="preserve">No RLS for original</t>
  </si>
  <si>
    <t xml:space="preserve">Redesign and rerun</t>
  </si>
  <si>
    <t xml:space="preserve">Uncontrolled generator</t>
  </si>
  <si>
    <t xml:space="preserve">CSV_ESCALATE</t>
  </si>
  <si>
    <t xml:space="preserve">Evidence/stakes require higher review</t>
  </si>
  <si>
    <t xml:space="preserve">No final selection until resolved</t>
  </si>
  <si>
    <t xml:space="preserve">No final RLS</t>
  </si>
  <si>
    <t xml:space="preserve">Maybe</t>
  </si>
  <si>
    <t xml:space="preserve">Higher tier review</t>
  </si>
  <si>
    <t xml:space="preserve">Missing UCI/HOI material data</t>
  </si>
  <si>
    <t xml:space="preserve">CSV_FAIL</t>
  </si>
  <si>
    <t xml:space="preserve">Uncontained or structurally non-viable beyond tolerance</t>
  </si>
  <si>
    <t xml:space="preserve">Not selectable</t>
  </si>
  <si>
    <t xml:space="preserve">No RLS</t>
  </si>
  <si>
    <t xml:space="preserve">Gate failure</t>
  </si>
  <si>
    <t xml:space="preserve">Indoor generator near people</t>
  </si>
  <si>
    <t xml:space="preserve">CSV_EMERGENCY_PROVISIONAL</t>
  </si>
  <si>
    <t xml:space="preserve">Temporary necessity when no better feasible option exists</t>
  </si>
  <si>
    <t xml:space="preserve">Time-limited provisional only</t>
  </si>
  <si>
    <t xml:space="preserve">Fallback/triage only</t>
  </si>
  <si>
    <t xml:space="preserve">No full alignment claim</t>
  </si>
  <si>
    <t xml:space="preserve">Short outage emergency</t>
  </si>
  <si>
    <t xml:space="preserve">CSV_NOT_MATERIAL</t>
  </si>
  <si>
    <t xml:space="preserve">CSV not material with rationale</t>
  </si>
  <si>
    <t xml:space="preserve">May proceed if other gates pass</t>
  </si>
  <si>
    <t xml:space="preserve">RLS allowed</t>
  </si>
  <si>
    <t xml:space="preserve">Record rationale</t>
  </si>
  <si>
    <t xml:space="preserve">Low-stakes clerical choice</t>
  </si>
  <si>
    <t xml:space="preserve">Diagnostic</t>
  </si>
  <si>
    <t xml:space="preserve">0</t>
  </si>
  <si>
    <t xml:space="preserve">Default disposition</t>
  </si>
  <si>
    <t xml:space="preserve">Containment integrity</t>
  </si>
  <si>
    <t xml:space="preserve">No concern</t>
  </si>
  <si>
    <t xml:space="preserve">Minor residual</t>
  </si>
  <si>
    <t xml:space="preserve">Controls required</t>
  </si>
  <si>
    <t xml:space="preserve">Redesign/escalate</t>
  </si>
  <si>
    <t xml:space="preserve">Fail</t>
  </si>
  <si>
    <t xml:space="preserve">Use max material diagnostic</t>
  </si>
  <si>
    <t xml:space="preserve">Structural viability</t>
  </si>
  <si>
    <t xml:space="preserve">Hollowing risk</t>
  </si>
  <si>
    <t xml:space="preserve">Dependency/lock-in</t>
  </si>
  <si>
    <t xml:space="preserve">Mitigation adequacy</t>
  </si>
  <si>
    <t xml:space="preserve">Adequate</t>
  </si>
  <si>
    <t xml:space="preserve">Minor gap</t>
  </si>
  <si>
    <t xml:space="preserve">RIPPLELOGIC v11.4 / ALIGNERS v4.4 COMPLETE READY UPDATE</t>
  </si>
  <si>
    <t xml:space="preserve">MathGov Core Release 2026.09</t>
  </si>
  <si>
    <t xml:space="preserve">Rights Floor, formally implemented as NCRC; public layer name is RF, formal predicate remains NCRC.</t>
  </si>
  <si>
    <t xml:space="preserve">CSV meaning</t>
  </si>
  <si>
    <t xml:space="preserve">Containment and Structural Viability</t>
  </si>
  <si>
    <t xml:space="preserve">CSV rule</t>
  </si>
  <si>
    <t xml:space="preserve">Not a purity filter; residual harms may carry into RLS, while uncontained/non-viable harms block, condition, redesign, escalate, or trigger emergency protocol.</t>
  </si>
  <si>
    <t xml:space="preserve">Inside CSV when material; residual tie-break or monitoring only after RLS non-decisive.</t>
  </si>
  <si>
    <t xml:space="preserve">Rights_Floor; CSV; v11_4_Complete_Ready</t>
  </si>
  <si>
    <t xml:space="preserve">Preserved boundaries</t>
  </si>
  <si>
    <t xml:space="preserve">No Tier 4, ProofPack, legal certification, deployment certification, or automated moral-truth claims.</t>
  </si>
  <si>
    <t xml:space="preserve">Worked-run companion only; not ProofPack, validator, legal certification, deployment certification, or Tier 4.</t>
  </si>
  <si>
    <t xml:space="preserve">Adds CSV documentation/control surface. Legacy Containment and Structural_Viability sheets remain computational surfaces interpreted under CSV.</t>
  </si>
  <si>
    <t xml:space="preserve">Component</t>
  </si>
  <si>
    <t xml:space="preserve">Overall score</t>
  </si>
  <si>
    <t xml:space="preserve">RippleLogic Canon</t>
  </si>
  <si>
    <t xml:space="preserve">v11.4</t>
  </si>
  <si>
    <t xml:space="preserve">Source of truth for RippleLogic ethical decision operating system</t>
  </si>
  <si>
    <t xml:space="preserve">v6.4</t>
  </si>
  <si>
    <t xml:space="preserve">Moral-status and protection evidence interface</t>
  </si>
  <si>
    <t xml:space="preserve">Agent System</t>
  </si>
  <si>
    <t xml:space="preserve">Agent/runtime architecture and controls</t>
  </si>
  <si>
    <t xml:space="preserve">ripple.md Standard</t>
  </si>
  <si>
    <t xml:space="preserve">Portable alignment contract / decision-note standard</t>
  </si>
  <si>
    <t xml:space="preserve">Cascade Standard</t>
  </si>
  <si>
    <t xml:space="preserve">v1.0</t>
  </si>
  <si>
    <t xml:space="preserve">Compact RG -&gt; RF -&gt; TRC -&gt; CSV -&gt; RLS reference</t>
  </si>
  <si>
    <t xml:space="preserve">CSV Gate Standard</t>
  </si>
  <si>
    <t xml:space="preserve">v1.2</t>
  </si>
  <si>
    <t xml:space="preserve">CSV status and selectability standard</t>
  </si>
  <si>
    <t xml:space="preserve">Foundations Primer</t>
  </si>
  <si>
    <t xml:space="preserve">Human-readable public doorway</t>
  </si>
  <si>
    <t xml:space="preserve">Aligners Sheet</t>
  </si>
  <si>
    <t xml:space="preserve">Worked-run workbook exemplar</t>
  </si>
</sst>
</file>

<file path=xl/styles.xml><?xml version="1.0" encoding="utf-8"?>
<styleSheet xmlns="http://schemas.openxmlformats.org/spreadsheetml/2006/main">
  <numFmts count="16">
    <numFmt numFmtId="164" formatCode="General"/>
    <numFmt numFmtId="165" formatCode="_(* #,##0.00_);_(* \(#,##0.00\);_(* \-??_);_(@_)"/>
    <numFmt numFmtId="166" formatCode="_(* #,##0.00_);_(* \(#,##0.00\);_(* \-??_);_(@_)"/>
    <numFmt numFmtId="167" formatCode="_(* #,##0_);_(* \(#,##0\);_(* \-_);_(@_)"/>
    <numFmt numFmtId="168" formatCode="_(* #,##0_);_(* \(#,##0\);_(* \-_);_(@_)"/>
    <numFmt numFmtId="169" formatCode="_(\$* #,##0.00_);_(\$* \(#,##0.00\);_(\$* \-??_);_(@_)"/>
    <numFmt numFmtId="170" formatCode="_(\$* #,##0.00_);_(\$* \(#,##0.00\);_(\$* \-??_);_(@_)"/>
    <numFmt numFmtId="171" formatCode="_(\$* #,##0_);_(\$* \(#,##0\);_(\$* \-_);_(@_)"/>
    <numFmt numFmtId="172" formatCode="_(\$* #,##0_);_(\$* \(#,##0\);_(\$* \-_);_(@_)"/>
    <numFmt numFmtId="173" formatCode="0%"/>
    <numFmt numFmtId="174" formatCode="mm/dd/yy"/>
    <numFmt numFmtId="175" formatCode="0.000"/>
    <numFmt numFmtId="176" formatCode="0.000000"/>
    <numFmt numFmtId="177" formatCode="0.0000"/>
    <numFmt numFmtId="178" formatCode="@"/>
    <numFmt numFmtId="179" formatCode="0.00000"/>
  </numFmts>
  <fonts count="31">
    <font>
      <sz val="10"/>
      <name val="Arial"/>
      <family val="2"/>
    </font>
    <font>
      <sz val="10"/>
      <name val="Arial"/>
      <family val="0"/>
    </font>
    <font>
      <sz val="10"/>
      <name val="Arial"/>
      <family val="0"/>
    </font>
    <font>
      <sz val="10"/>
      <name val="Arial"/>
      <family val="0"/>
    </font>
    <font>
      <sz val="10"/>
      <name val="Arial"/>
      <family val="0"/>
      <charset val="1"/>
    </font>
    <font>
      <sz val="11"/>
      <color theme="1"/>
      <name val="Calibri"/>
      <family val="0"/>
      <charset val="1"/>
    </font>
    <font>
      <b val="true"/>
      <sz val="11"/>
      <color rgb="FFFFFFFF"/>
      <name val="Cambria"/>
      <family val="0"/>
      <charset val="1"/>
    </font>
    <font>
      <b val="true"/>
      <sz val="10"/>
      <color rgb="FF0F172A"/>
      <name val="Arial"/>
      <family val="0"/>
      <charset val="1"/>
    </font>
    <font>
      <b val="true"/>
      <sz val="11"/>
      <color rgb="FF0F172A"/>
      <name val="Calibri"/>
      <family val="0"/>
      <charset val="1"/>
    </font>
    <font>
      <b val="true"/>
      <sz val="11"/>
      <color rgb="FFFFFFFF"/>
      <name val="Calibri"/>
      <family val="0"/>
      <charset val="1"/>
    </font>
    <font>
      <b val="true"/>
      <sz val="10"/>
      <color rgb="FFFFFFFF"/>
      <name val="Arial"/>
      <family val="0"/>
      <charset val="1"/>
    </font>
    <font>
      <b val="true"/>
      <sz val="11"/>
      <color theme="1"/>
      <name val="Calibri"/>
      <family val="0"/>
      <charset val="1"/>
    </font>
    <font>
      <b val="true"/>
      <sz val="10"/>
      <name val="Arial"/>
      <family val="0"/>
      <charset val="1"/>
    </font>
    <font>
      <b val="true"/>
      <sz val="11"/>
      <name val="Cambria"/>
      <family val="0"/>
      <charset val="1"/>
    </font>
    <font>
      <b val="true"/>
      <sz val="11"/>
      <color rgb="FF1F4E79"/>
      <name val="Cambria"/>
      <family val="0"/>
      <charset val="1"/>
    </font>
    <font>
      <b val="true"/>
      <sz val="11"/>
      <color theme="1"/>
      <name val="Cambria"/>
      <family val="0"/>
      <charset val="1"/>
    </font>
    <font>
      <b val="true"/>
      <sz val="12"/>
      <color theme="1"/>
      <name val="Arial"/>
      <family val="0"/>
      <charset val="1"/>
    </font>
    <font>
      <sz val="10"/>
      <color theme="1"/>
      <name val="Arial"/>
      <family val="0"/>
      <charset val="1"/>
    </font>
    <font>
      <i val="true"/>
      <sz val="10"/>
      <color theme="1"/>
      <name val="Arial"/>
      <family val="0"/>
      <charset val="1"/>
    </font>
    <font>
      <b val="true"/>
      <sz val="12"/>
      <color theme="1"/>
      <name val="Cambria"/>
      <family val="0"/>
      <charset val="1"/>
    </font>
    <font>
      <b val="true"/>
      <sz val="11"/>
      <name val="Calibri"/>
      <family val="0"/>
      <charset val="1"/>
    </font>
    <font>
      <b val="true"/>
      <sz val="14"/>
      <color rgb="FFFFFFFF"/>
      <name val="Calibri"/>
      <family val="0"/>
      <charset val="1"/>
    </font>
    <font>
      <sz val="10"/>
      <color rgb="FF000000"/>
      <name val="Arial"/>
      <family val="0"/>
      <charset val="1"/>
    </font>
    <font>
      <i val="true"/>
      <sz val="10"/>
      <name val="Arial"/>
      <family val="0"/>
      <charset val="1"/>
    </font>
    <font>
      <b val="true"/>
      <sz val="11"/>
      <color rgb="FF0F172A"/>
      <name val="Cambria"/>
      <family val="0"/>
      <charset val="1"/>
    </font>
    <font>
      <b val="true"/>
      <sz val="14"/>
      <color theme="1"/>
      <name val="Cambria"/>
      <family val="0"/>
      <charset val="1"/>
    </font>
    <font>
      <b val="true"/>
      <sz val="10"/>
      <color theme="1"/>
      <name val="Arial"/>
      <family val="0"/>
      <charset val="1"/>
    </font>
    <font>
      <b val="true"/>
      <sz val="11"/>
      <color theme="1"/>
      <name val="Arial"/>
      <family val="0"/>
      <charset val="1"/>
    </font>
    <font>
      <b val="true"/>
      <i val="true"/>
      <sz val="10"/>
      <color theme="1"/>
      <name val="Arial"/>
      <family val="0"/>
      <charset val="1"/>
    </font>
    <font>
      <b val="true"/>
      <sz val="12"/>
      <name val="Arial"/>
      <family val="0"/>
      <charset val="1"/>
    </font>
    <font>
      <b val="true"/>
      <sz val="14"/>
      <color rgb="FFFFFFFF"/>
      <name val="Cambria"/>
      <family val="0"/>
      <charset val="1"/>
    </font>
  </fonts>
  <fills count="29">
    <fill>
      <patternFill patternType="none"/>
    </fill>
    <fill>
      <patternFill patternType="gray125"/>
    </fill>
    <fill>
      <patternFill patternType="solid">
        <fgColor rgb="FF1F4E78"/>
        <bgColor rgb="FF1F4E79"/>
      </patternFill>
    </fill>
    <fill>
      <patternFill patternType="solid">
        <fgColor rgb="FFE0F2F1"/>
        <bgColor rgb="FFDDEBF7"/>
      </patternFill>
    </fill>
    <fill>
      <patternFill patternType="solid">
        <fgColor rgb="FF155E75"/>
        <bgColor rgb="FF1F4E78"/>
      </patternFill>
    </fill>
    <fill>
      <patternFill patternType="solid">
        <fgColor rgb="FF0F766E"/>
        <bgColor rgb="FF155E75"/>
      </patternFill>
    </fill>
    <fill>
      <patternFill patternType="solid">
        <fgColor rgb="FFD9EAD3"/>
        <bgColor rgb="FFE2EFDA"/>
      </patternFill>
    </fill>
    <fill>
      <patternFill patternType="solid">
        <fgColor rgb="FFD9EAF7"/>
        <bgColor rgb="FFDDEBF7"/>
      </patternFill>
    </fill>
    <fill>
      <patternFill patternType="solid">
        <fgColor rgb="FFDDEBF7"/>
        <bgColor rgb="FFD9EAF7"/>
      </patternFill>
    </fill>
    <fill>
      <patternFill patternType="solid">
        <fgColor rgb="FFC6EFCE"/>
        <bgColor rgb="FFD9EAD3"/>
      </patternFill>
    </fill>
    <fill>
      <patternFill patternType="solid">
        <fgColor rgb="FFE8F0FE"/>
        <bgColor rgb="FFEEF2FF"/>
      </patternFill>
    </fill>
    <fill>
      <patternFill patternType="solid">
        <fgColor rgb="FFFFF2CC"/>
        <bgColor rgb="FFFFE6CC"/>
      </patternFill>
    </fill>
    <fill>
      <patternFill patternType="solid">
        <fgColor rgb="FFE2EFDA"/>
        <bgColor rgb="FFE2F0D9"/>
      </patternFill>
    </fill>
    <fill>
      <patternFill patternType="solid">
        <fgColor rgb="FFD9D9D9"/>
        <bgColor rgb="FFDDDDDD"/>
      </patternFill>
    </fill>
    <fill>
      <patternFill patternType="solid">
        <fgColor rgb="FFB4C7E7"/>
        <bgColor rgb="FFBFBFBF"/>
      </patternFill>
    </fill>
    <fill>
      <patternFill patternType="solid">
        <fgColor rgb="FF2E75B6"/>
        <bgColor rgb="FF0F766E"/>
      </patternFill>
    </fill>
    <fill>
      <patternFill patternType="solid">
        <fgColor rgb="FFFCE4D6"/>
        <bgColor rgb="FFFFE6CC"/>
      </patternFill>
    </fill>
    <fill>
      <patternFill patternType="solid">
        <fgColor rgb="FF1F4E79"/>
        <bgColor rgb="FF1F4E78"/>
      </patternFill>
    </fill>
    <fill>
      <patternFill patternType="solid">
        <fgColor rgb="FFE2F0D9"/>
        <bgColor rgb="FFE2EFDA"/>
      </patternFill>
    </fill>
    <fill>
      <patternFill patternType="solid">
        <fgColor rgb="FFFFC7CE"/>
        <bgColor rgb="FFFFCCCC"/>
      </patternFill>
    </fill>
    <fill>
      <patternFill patternType="solid">
        <fgColor rgb="FFFFEB9C"/>
        <bgColor rgb="FFFFE6CC"/>
      </patternFill>
    </fill>
    <fill>
      <patternFill patternType="solid">
        <fgColor rgb="FFEEF2FF"/>
        <bgColor rgb="FFE8F0FE"/>
      </patternFill>
    </fill>
    <fill>
      <patternFill patternType="solid">
        <fgColor rgb="FFF8FAFC"/>
        <bgColor rgb="FFFFFFFF"/>
      </patternFill>
    </fill>
    <fill>
      <patternFill patternType="solid">
        <fgColor rgb="FF1F2937"/>
        <bgColor rgb="FF0F172A"/>
      </patternFill>
    </fill>
    <fill>
      <patternFill patternType="solid">
        <fgColor rgb="FFFFCCCC"/>
        <bgColor rgb="FFFFC7CE"/>
      </patternFill>
    </fill>
    <fill>
      <patternFill patternType="solid">
        <fgColor rgb="FFFFE6CC"/>
        <bgColor rgb="FFFCE4D6"/>
      </patternFill>
    </fill>
    <fill>
      <patternFill patternType="solid">
        <fgColor rgb="FFFFFFCC"/>
        <bgColor rgb="FFFFF2CC"/>
      </patternFill>
    </fill>
    <fill>
      <patternFill patternType="solid">
        <fgColor rgb="FFDDDDDD"/>
        <bgColor rgb="FFD9D9D9"/>
      </patternFill>
    </fill>
    <fill>
      <patternFill patternType="solid">
        <fgColor rgb="FF334155"/>
        <bgColor rgb="FF1F4E78"/>
      </patternFill>
    </fill>
  </fills>
  <borders count="5">
    <border diagonalUp="false" diagonalDown="false">
      <left/>
      <right/>
      <top/>
      <bottom/>
      <diagonal/>
    </border>
    <border diagonalUp="false" diagonalDown="false">
      <left style="thin">
        <color rgb="FFD9D9D9"/>
      </left>
      <right style="thin">
        <color rgb="FFD9D9D9"/>
      </right>
      <top style="thin">
        <color rgb="FFD9D9D9"/>
      </top>
      <bottom style="thin">
        <color rgb="FFD9D9D9"/>
      </bottom>
      <diagonal/>
    </border>
    <border diagonalUp="false" diagonalDown="false">
      <left style="thin">
        <color rgb="FFBFBFBF"/>
      </left>
      <right style="thin">
        <color rgb="FFBFBFBF"/>
      </right>
      <top style="thin">
        <color rgb="FFBFBFBF"/>
      </top>
      <bottom style="thin">
        <color rgb="FFBFBFBF"/>
      </bottom>
      <diagonal/>
    </border>
    <border diagonalUp="false" diagonalDown="false">
      <left style="thin">
        <color rgb="FFCCCCCC"/>
      </left>
      <right style="thin">
        <color rgb="FFCCCCCC"/>
      </right>
      <top style="thin">
        <color rgb="FFCCCCCC"/>
      </top>
      <bottom style="thin">
        <color rgb="FFCCCCCC"/>
      </bottom>
      <diagonal/>
    </border>
    <border diagonalUp="false" diagonalDown="false">
      <left style="thin">
        <color rgb="FF999999"/>
      </left>
      <right style="thin">
        <color rgb="FF999999"/>
      </right>
      <top style="thin">
        <color rgb="FF999999"/>
      </top>
      <bottom style="thin">
        <color rgb="FF999999"/>
      </bottom>
      <diagonal/>
    </border>
  </borders>
  <cellStyleXfs count="39">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4" fillId="0" borderId="0" applyFont="true" applyBorder="true" applyAlignment="true" applyProtection="true">
      <alignment horizontal="general" vertical="bottom" textRotation="0" wrapText="false" indent="0" shrinkToFit="false"/>
      <protection locked="true" hidden="false"/>
    </xf>
    <xf numFmtId="166" fontId="4" fillId="0" borderId="0" applyFont="true" applyBorder="true" applyAlignment="true" applyProtection="true">
      <alignment horizontal="general" vertical="bottom" textRotation="0" wrapText="false" indent="0" shrinkToFit="false"/>
      <protection locked="true" hidden="false"/>
    </xf>
    <xf numFmtId="166" fontId="4" fillId="0" borderId="0" applyFont="true" applyBorder="true" applyAlignment="true" applyProtection="true">
      <alignment horizontal="general" vertical="bottom" textRotation="0" wrapText="false" indent="0" shrinkToFit="false"/>
      <protection locked="true" hidden="false"/>
    </xf>
    <xf numFmtId="167" fontId="4" fillId="0" borderId="0" applyFont="true" applyBorder="true" applyAlignment="true" applyProtection="true">
      <alignment horizontal="general" vertical="bottom" textRotation="0" wrapText="false" indent="0" shrinkToFit="false"/>
      <protection locked="true" hidden="false"/>
    </xf>
    <xf numFmtId="168" fontId="4" fillId="0" borderId="0" applyFont="true" applyBorder="true" applyAlignment="true" applyProtection="true">
      <alignment horizontal="general" vertical="bottom" textRotation="0" wrapText="false" indent="0" shrinkToFit="false"/>
      <protection locked="true" hidden="false"/>
    </xf>
    <xf numFmtId="168" fontId="4" fillId="0" borderId="0" applyFont="true" applyBorder="true" applyAlignment="true" applyProtection="true">
      <alignment horizontal="general" vertical="bottom" textRotation="0" wrapText="false" indent="0" shrinkToFit="false"/>
      <protection locked="true" hidden="false"/>
    </xf>
    <xf numFmtId="169" fontId="4" fillId="0" borderId="0" applyFont="true" applyBorder="true" applyAlignment="true" applyProtection="true">
      <alignment horizontal="general" vertical="bottom" textRotation="0" wrapText="false" indent="0" shrinkToFit="false"/>
      <protection locked="true" hidden="false"/>
    </xf>
    <xf numFmtId="170" fontId="4" fillId="0" borderId="0" applyFont="true" applyBorder="true" applyAlignment="true" applyProtection="true">
      <alignment horizontal="general" vertical="bottom" textRotation="0" wrapText="false" indent="0" shrinkToFit="false"/>
      <protection locked="true" hidden="false"/>
    </xf>
    <xf numFmtId="170" fontId="4" fillId="0" borderId="0" applyFont="true" applyBorder="true" applyAlignment="true" applyProtection="true">
      <alignment horizontal="general" vertical="bottom" textRotation="0" wrapText="false" indent="0" shrinkToFit="false"/>
      <protection locked="true" hidden="false"/>
    </xf>
    <xf numFmtId="171" fontId="4" fillId="0" borderId="0" applyFont="true" applyBorder="true" applyAlignment="true" applyProtection="true">
      <alignment horizontal="general" vertical="bottom" textRotation="0" wrapText="false" indent="0" shrinkToFit="false"/>
      <protection locked="true" hidden="false"/>
    </xf>
    <xf numFmtId="172" fontId="4" fillId="0" borderId="0" applyFont="true" applyBorder="true" applyAlignment="true" applyProtection="true">
      <alignment horizontal="general" vertical="bottom" textRotation="0" wrapText="false" indent="0" shrinkToFit="false"/>
      <protection locked="true" hidden="false"/>
    </xf>
    <xf numFmtId="172"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5"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73" fontId="4" fillId="0" borderId="0" applyFont="true" applyBorder="true" applyAlignment="true" applyProtection="true">
      <alignment horizontal="general" vertical="bottom" textRotation="0" wrapText="false" indent="0" shrinkToFit="false"/>
      <protection locked="true" hidden="false"/>
    </xf>
    <xf numFmtId="173" fontId="4" fillId="0" borderId="0" applyFont="true" applyBorder="true" applyAlignment="true" applyProtection="true">
      <alignment horizontal="general" vertical="bottom" textRotation="0" wrapText="false" indent="0" shrinkToFit="false"/>
      <protection locked="true" hidden="false"/>
    </xf>
    <xf numFmtId="173" fontId="4" fillId="0" borderId="0" applyFont="true" applyBorder="true" applyAlignment="true" applyProtection="true">
      <alignment horizontal="general" vertical="bottom" textRotation="0" wrapText="false" indent="0" shrinkToFit="false"/>
      <protection locked="true" hidden="false"/>
    </xf>
  </cellStyleXfs>
  <cellXfs count="132">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4" fillId="0" borderId="0" xfId="32" applyFont="true" applyBorder="true" applyAlignment="false" applyProtection="false">
      <alignment horizontal="general" vertical="bottom" textRotation="0" wrapText="false" indent="0" shrinkToFit="false"/>
      <protection locked="true" hidden="false"/>
    </xf>
    <xf numFmtId="164" fontId="6" fillId="2" borderId="0" xfId="32" applyFont="true" applyBorder="true" applyAlignment="true" applyProtection="false">
      <alignment horizontal="general" vertical="top" textRotation="0" wrapText="true" indent="0" shrinkToFit="false"/>
      <protection locked="true" hidden="false"/>
    </xf>
    <xf numFmtId="164" fontId="7" fillId="3" borderId="0" xfId="32" applyFont="true" applyBorder="true" applyAlignment="true" applyProtection="false">
      <alignment horizontal="general" vertical="top" textRotation="0" wrapText="true" indent="0" shrinkToFit="false"/>
      <protection locked="true" hidden="false"/>
    </xf>
    <xf numFmtId="164" fontId="4" fillId="0" borderId="0" xfId="32" applyFont="true" applyBorder="true" applyAlignment="true" applyProtection="false">
      <alignment horizontal="general" vertical="top" textRotation="0" wrapText="true" indent="0" shrinkToFit="false"/>
      <protection locked="true" hidden="false"/>
    </xf>
    <xf numFmtId="164" fontId="8" fillId="3" borderId="0" xfId="32" applyFont="true" applyBorder="true" applyAlignment="true" applyProtection="false">
      <alignment horizontal="general" vertical="top" textRotation="0" wrapText="true" indent="0" shrinkToFit="false"/>
      <protection locked="true" hidden="false"/>
    </xf>
    <xf numFmtId="164" fontId="5" fillId="0" borderId="0" xfId="32" applyFont="true" applyBorder="true" applyAlignment="true" applyProtection="false">
      <alignment horizontal="general" vertical="top" textRotation="0" wrapText="true" indent="0" shrinkToFit="false"/>
      <protection locked="true" hidden="false"/>
    </xf>
    <xf numFmtId="164" fontId="9" fillId="4" borderId="0" xfId="32" applyFont="true" applyBorder="true" applyAlignment="true" applyProtection="false">
      <alignment horizontal="general" vertical="top" textRotation="0" wrapText="true" indent="0" shrinkToFit="false"/>
      <protection locked="true" hidden="false"/>
    </xf>
    <xf numFmtId="164" fontId="10" fillId="4" borderId="0" xfId="32" applyFont="true" applyBorder="true" applyAlignment="true" applyProtection="false">
      <alignment horizontal="general" vertical="top" textRotation="0" wrapText="true" indent="0" shrinkToFit="false"/>
      <protection locked="true" hidden="false"/>
    </xf>
    <xf numFmtId="164" fontId="11" fillId="0" borderId="0" xfId="32" applyFont="true" applyBorder="true" applyAlignment="true" applyProtection="false">
      <alignment horizontal="general" vertical="top" textRotation="0" wrapText="true" indent="0" shrinkToFit="false"/>
      <protection locked="true" hidden="false"/>
    </xf>
    <xf numFmtId="164" fontId="12" fillId="0" borderId="0" xfId="32" applyFont="true" applyBorder="true" applyAlignment="true" applyProtection="false">
      <alignment horizontal="general" vertical="top" textRotation="0" wrapText="true" indent="0" shrinkToFit="false"/>
      <protection locked="true" hidden="false"/>
    </xf>
    <xf numFmtId="174" fontId="5" fillId="0" borderId="0" xfId="32" applyFont="true" applyBorder="true" applyAlignment="true" applyProtection="false">
      <alignment horizontal="general" vertical="top" textRotation="0" wrapText="true" indent="0" shrinkToFit="false"/>
      <protection locked="true" hidden="false"/>
    </xf>
    <xf numFmtId="164" fontId="10" fillId="5" borderId="0" xfId="32" applyFont="true" applyBorder="true" applyAlignment="true" applyProtection="false">
      <alignment horizontal="general" vertical="top" textRotation="0" wrapText="true" indent="0" shrinkToFit="false"/>
      <protection locked="true" hidden="false"/>
    </xf>
    <xf numFmtId="164" fontId="12" fillId="6" borderId="0" xfId="32" applyFont="true" applyBorder="true" applyAlignment="true" applyProtection="false">
      <alignment horizontal="general" vertical="top" textRotation="0" wrapText="true" indent="0" shrinkToFit="false"/>
      <protection locked="true" hidden="false"/>
    </xf>
    <xf numFmtId="164" fontId="13" fillId="0" borderId="0" xfId="32" applyFont="true" applyBorder="true" applyAlignment="true" applyProtection="false">
      <alignment horizontal="general" vertical="top" textRotation="0" wrapText="true" indent="0" shrinkToFit="false"/>
      <protection locked="true" hidden="false"/>
    </xf>
    <xf numFmtId="164" fontId="14" fillId="7" borderId="1" xfId="32" applyFont="true" applyBorder="true" applyAlignment="true" applyProtection="false">
      <alignment horizontal="general" vertical="top" textRotation="0" wrapText="true" indent="0" shrinkToFit="false"/>
      <protection locked="true" hidden="false"/>
    </xf>
    <xf numFmtId="164" fontId="4" fillId="0" borderId="1" xfId="32" applyFont="true" applyBorder="true" applyAlignment="true" applyProtection="false">
      <alignment horizontal="general" vertical="top" textRotation="0" wrapText="true" indent="0" shrinkToFit="false"/>
      <protection locked="true" hidden="false"/>
    </xf>
    <xf numFmtId="164" fontId="6" fillId="4" borderId="1" xfId="32" applyFont="true" applyBorder="true" applyAlignment="true" applyProtection="false">
      <alignment horizontal="general" vertical="top" textRotation="0" wrapText="true" indent="0" shrinkToFit="false"/>
      <protection locked="true" hidden="false"/>
    </xf>
    <xf numFmtId="164" fontId="10" fillId="4" borderId="1" xfId="32" applyFont="true" applyBorder="true" applyAlignment="true" applyProtection="false">
      <alignment horizontal="general" vertical="top" textRotation="0" wrapText="tru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xf numFmtId="164" fontId="6" fillId="2" borderId="0" xfId="0" applyFont="true" applyBorder="false" applyAlignment="true" applyProtection="false">
      <alignment horizontal="general" vertical="top" textRotation="0" wrapText="true" indent="0" shrinkToFit="false"/>
      <protection locked="true" hidden="false"/>
    </xf>
    <xf numFmtId="164" fontId="4" fillId="0" borderId="0" xfId="0" applyFont="true" applyBorder="false" applyAlignment="true" applyProtection="false">
      <alignment horizontal="general" vertical="top" textRotation="0" wrapText="true" indent="0" shrinkToFit="false"/>
      <protection locked="true" hidden="false"/>
    </xf>
    <xf numFmtId="164" fontId="15" fillId="0" borderId="0" xfId="32" applyFont="true" applyBorder="true" applyAlignment="true" applyProtection="false">
      <alignment horizontal="general" vertical="top" textRotation="0" wrapText="true" indent="0" shrinkToFit="false"/>
      <protection locked="true" hidden="false"/>
    </xf>
    <xf numFmtId="175" fontId="5" fillId="0" borderId="0" xfId="32" applyFont="true" applyBorder="true" applyAlignment="true" applyProtection="false">
      <alignment horizontal="general" vertical="top" textRotation="0" wrapText="true" indent="0" shrinkToFit="false"/>
      <protection locked="true" hidden="false"/>
    </xf>
    <xf numFmtId="164" fontId="5" fillId="8" borderId="0" xfId="32" applyFont="true" applyBorder="true" applyAlignment="true" applyProtection="false">
      <alignment horizontal="general" vertical="top" textRotation="0" wrapText="true" indent="0" shrinkToFit="false"/>
      <protection locked="true" hidden="false"/>
    </xf>
    <xf numFmtId="164" fontId="5" fillId="9" borderId="0" xfId="32" applyFont="true" applyBorder="true" applyAlignment="true" applyProtection="false">
      <alignment horizontal="general" vertical="top" textRotation="0" wrapText="true" indent="0" shrinkToFit="false"/>
      <protection locked="true" hidden="false"/>
    </xf>
    <xf numFmtId="164" fontId="16" fillId="10" borderId="0" xfId="32" applyFont="true" applyBorder="true" applyAlignment="true" applyProtection="false">
      <alignment horizontal="general" vertical="top" textRotation="0" wrapText="true" indent="0" shrinkToFit="false"/>
      <protection locked="true" hidden="false"/>
    </xf>
    <xf numFmtId="164" fontId="5" fillId="10" borderId="0" xfId="32" applyFont="true" applyBorder="true" applyAlignment="true" applyProtection="false">
      <alignment horizontal="general" vertical="top" textRotation="0" wrapText="true" indent="0" shrinkToFit="false"/>
      <protection locked="true" hidden="false"/>
    </xf>
    <xf numFmtId="164" fontId="17" fillId="10" borderId="0" xfId="32" applyFont="true" applyBorder="true" applyAlignment="true" applyProtection="false">
      <alignment horizontal="general" vertical="top" textRotation="0" wrapText="true" indent="0" shrinkToFit="false"/>
      <protection locked="true" hidden="false"/>
    </xf>
    <xf numFmtId="164" fontId="18" fillId="10" borderId="0" xfId="32" applyFont="true" applyBorder="true" applyAlignment="true" applyProtection="false">
      <alignment horizontal="general" vertical="top" textRotation="0" wrapText="true" indent="0" shrinkToFit="false"/>
      <protection locked="true" hidden="false"/>
    </xf>
    <xf numFmtId="164" fontId="4" fillId="0" borderId="0" xfId="32" applyFont="true" applyBorder="true" applyAlignment="true" applyProtection="false">
      <alignment horizontal="general" vertical="bottom" textRotation="0" wrapText="true" indent="0" shrinkToFit="false"/>
      <protection locked="true" hidden="false"/>
    </xf>
    <xf numFmtId="164" fontId="12" fillId="11" borderId="0" xfId="32" applyFont="true" applyBorder="true" applyAlignment="true" applyProtection="false">
      <alignment horizontal="general" vertical="top" textRotation="0" wrapText="true" indent="0" shrinkToFit="false"/>
      <protection locked="true" hidden="false"/>
    </xf>
    <xf numFmtId="164" fontId="15" fillId="12" borderId="0" xfId="32" applyFont="true" applyBorder="true" applyAlignment="true" applyProtection="false">
      <alignment horizontal="general" vertical="top" textRotation="0" wrapText="true" indent="0" shrinkToFit="false"/>
      <protection locked="true" hidden="false"/>
    </xf>
    <xf numFmtId="164" fontId="5" fillId="12" borderId="0" xfId="32" applyFont="true" applyBorder="true" applyAlignment="true" applyProtection="false">
      <alignment horizontal="general" vertical="top" textRotation="0" wrapText="true" indent="0" shrinkToFit="false"/>
      <protection locked="true" hidden="false"/>
    </xf>
    <xf numFmtId="164" fontId="19" fillId="0" borderId="0" xfId="32" applyFont="true" applyBorder="true" applyAlignment="true" applyProtection="false">
      <alignment horizontal="general" vertical="top" textRotation="0" wrapText="true" indent="0" shrinkToFit="false"/>
      <protection locked="true" hidden="false"/>
    </xf>
    <xf numFmtId="164" fontId="5" fillId="0" borderId="0" xfId="0" applyFont="true" applyBorder="false" applyAlignment="true" applyProtection="false">
      <alignment horizontal="general" vertical="top" textRotation="0" wrapText="true" indent="0" shrinkToFit="false"/>
      <protection locked="true" hidden="false"/>
    </xf>
    <xf numFmtId="164" fontId="15" fillId="0" borderId="0" xfId="0" applyFont="true" applyBorder="false" applyAlignment="true" applyProtection="false">
      <alignment horizontal="general" vertical="top" textRotation="0" wrapText="true" indent="0" shrinkToFit="false"/>
      <protection locked="true" hidden="false"/>
    </xf>
    <xf numFmtId="164" fontId="5" fillId="13" borderId="0" xfId="0" applyFont="true" applyBorder="false" applyAlignment="true" applyProtection="false">
      <alignment horizontal="general" vertical="top" textRotation="0" wrapText="true" indent="0" shrinkToFit="false"/>
      <protection locked="true" hidden="false"/>
    </xf>
    <xf numFmtId="164" fontId="6" fillId="2" borderId="0" xfId="0" applyFont="true" applyBorder="true" applyAlignment="true" applyProtection="false">
      <alignment horizontal="general" vertical="top" textRotation="0" wrapText="true" indent="0" shrinkToFit="false"/>
      <protection locked="true" hidden="false"/>
    </xf>
    <xf numFmtId="176" fontId="5" fillId="0" borderId="0" xfId="0" applyFont="true" applyBorder="false" applyAlignment="true" applyProtection="false">
      <alignment horizontal="general" vertical="top" textRotation="0" wrapText="true" indent="0" shrinkToFit="false"/>
      <protection locked="true" hidden="false"/>
    </xf>
    <xf numFmtId="164" fontId="5" fillId="0" borderId="1" xfId="0" applyFont="true" applyBorder="true" applyAlignment="true" applyProtection="false">
      <alignment horizontal="general" vertical="top" textRotation="0" wrapText="true" indent="0" shrinkToFit="false"/>
      <protection locked="true" hidden="false"/>
    </xf>
    <xf numFmtId="164" fontId="11" fillId="7" borderId="0" xfId="32" applyFont="true" applyBorder="true" applyAlignment="true" applyProtection="false">
      <alignment horizontal="general" vertical="top" textRotation="0" wrapText="true" indent="0" shrinkToFit="false"/>
      <protection locked="true" hidden="false"/>
    </xf>
    <xf numFmtId="164" fontId="11" fillId="14" borderId="1" xfId="0" applyFont="true" applyBorder="true" applyAlignment="true" applyProtection="false">
      <alignment horizontal="general" vertical="top" textRotation="0" wrapText="true" indent="0" shrinkToFit="false"/>
      <protection locked="true" hidden="false"/>
    </xf>
    <xf numFmtId="164" fontId="20" fillId="14" borderId="1" xfId="0" applyFont="true" applyBorder="true" applyAlignment="true" applyProtection="false">
      <alignment horizontal="general" vertical="top" textRotation="0" wrapText="true" indent="0" shrinkToFit="false"/>
      <protection locked="true" hidden="false"/>
    </xf>
    <xf numFmtId="164" fontId="11" fillId="7" borderId="1" xfId="0" applyFont="true" applyBorder="true" applyAlignment="true" applyProtection="false">
      <alignment horizontal="general" vertical="top" textRotation="0" wrapText="true" indent="0" shrinkToFit="false"/>
      <protection locked="true" hidden="false"/>
    </xf>
    <xf numFmtId="164" fontId="21" fillId="2" borderId="0" xfId="0" applyFont="true" applyBorder="true" applyAlignment="true" applyProtection="false">
      <alignment horizontal="general" vertical="top" textRotation="0" wrapText="true" indent="0" shrinkToFit="false"/>
      <protection locked="true" hidden="false"/>
    </xf>
    <xf numFmtId="164" fontId="20" fillId="7" borderId="1" xfId="0" applyFont="true" applyBorder="true" applyAlignment="true" applyProtection="false">
      <alignment horizontal="general" vertical="top" textRotation="0" wrapText="true" indent="0" shrinkToFit="false"/>
      <protection locked="true" hidden="false"/>
    </xf>
    <xf numFmtId="164" fontId="15" fillId="15" borderId="0" xfId="0" applyFont="true" applyBorder="false" applyAlignment="true" applyProtection="false">
      <alignment horizontal="general" vertical="top" textRotation="0" wrapText="true" indent="0" shrinkToFit="false"/>
      <protection locked="true" hidden="false"/>
    </xf>
    <xf numFmtId="175" fontId="5" fillId="0" borderId="0" xfId="0" applyFont="true" applyBorder="false" applyAlignment="true" applyProtection="false">
      <alignment horizontal="general" vertical="top" textRotation="0" wrapText="true" indent="0" shrinkToFit="false"/>
      <protection locked="true" hidden="false"/>
    </xf>
    <xf numFmtId="164" fontId="5" fillId="9" borderId="0" xfId="0" applyFont="true" applyBorder="false" applyAlignment="true" applyProtection="false">
      <alignment horizontal="general" vertical="top" textRotation="0" wrapText="true" indent="0" shrinkToFit="false"/>
      <protection locked="true" hidden="false"/>
    </xf>
    <xf numFmtId="164" fontId="12" fillId="11" borderId="0" xfId="32" applyFont="true" applyBorder="true" applyAlignment="true" applyProtection="false">
      <alignment horizontal="general" vertical="bottom" textRotation="0" wrapText="true" indent="0" shrinkToFit="false"/>
      <protection locked="true" hidden="false"/>
    </xf>
    <xf numFmtId="177" fontId="5" fillId="12" borderId="0" xfId="0" applyFont="true" applyBorder="false" applyAlignment="true" applyProtection="false">
      <alignment horizontal="general" vertical="top" textRotation="0" wrapText="true" indent="0" shrinkToFit="false"/>
      <protection locked="true" hidden="false"/>
    </xf>
    <xf numFmtId="175" fontId="5" fillId="9" borderId="0" xfId="0" applyFont="true" applyBorder="false" applyAlignment="true" applyProtection="false">
      <alignment horizontal="general" vertical="top" textRotation="0" wrapText="true" indent="0" shrinkToFit="false"/>
      <protection locked="true" hidden="false"/>
    </xf>
    <xf numFmtId="175" fontId="5" fillId="16" borderId="0" xfId="0" applyFont="true" applyBorder="false" applyAlignment="true" applyProtection="false">
      <alignment horizontal="general" vertical="top" textRotation="0" wrapText="true" indent="0" shrinkToFit="false"/>
      <protection locked="true" hidden="false"/>
    </xf>
    <xf numFmtId="164" fontId="22" fillId="7" borderId="0" xfId="32" applyFont="true" applyBorder="true" applyAlignment="true" applyProtection="false">
      <alignment horizontal="general" vertical="top" textRotation="0" wrapText="true" indent="0" shrinkToFit="false"/>
      <protection locked="true" hidden="false"/>
    </xf>
    <xf numFmtId="164" fontId="10" fillId="17" borderId="0" xfId="32" applyFont="true" applyBorder="true" applyAlignment="true" applyProtection="false">
      <alignment horizontal="general" vertical="top" textRotation="0" wrapText="true" indent="0" shrinkToFit="false"/>
      <protection locked="true" hidden="false"/>
    </xf>
    <xf numFmtId="164" fontId="12" fillId="18" borderId="0" xfId="32" applyFont="true" applyBorder="true" applyAlignment="true" applyProtection="false">
      <alignment horizontal="general" vertical="top" textRotation="0" wrapText="true" indent="0" shrinkToFit="false"/>
      <protection locked="true" hidden="false"/>
    </xf>
    <xf numFmtId="164" fontId="6" fillId="2" borderId="2" xfId="32" applyFont="true" applyBorder="true" applyAlignment="true" applyProtection="false">
      <alignment horizontal="general" vertical="top" textRotation="0" wrapText="true" indent="0" shrinkToFit="false"/>
      <protection locked="true" hidden="false"/>
    </xf>
    <xf numFmtId="164" fontId="4" fillId="0" borderId="2" xfId="32" applyFont="true" applyBorder="true" applyAlignment="true" applyProtection="false">
      <alignment horizontal="general" vertical="top" textRotation="0" wrapText="true" indent="0" shrinkToFit="false"/>
      <protection locked="true" hidden="false"/>
    </xf>
    <xf numFmtId="164" fontId="13" fillId="7" borderId="2" xfId="32" applyFont="true" applyBorder="true" applyAlignment="true" applyProtection="false">
      <alignment horizontal="general" vertical="top" textRotation="0" wrapText="true" indent="0" shrinkToFit="false"/>
      <protection locked="true" hidden="false"/>
    </xf>
    <xf numFmtId="164" fontId="6" fillId="2" borderId="3" xfId="32" applyFont="true" applyBorder="true" applyAlignment="true" applyProtection="false">
      <alignment horizontal="general" vertical="top" textRotation="0" wrapText="true" indent="0" shrinkToFit="false"/>
      <protection locked="true" hidden="false"/>
    </xf>
    <xf numFmtId="164" fontId="13" fillId="0" borderId="3" xfId="32" applyFont="true" applyBorder="true" applyAlignment="true" applyProtection="false">
      <alignment horizontal="general" vertical="top" textRotation="0" wrapText="true" indent="0" shrinkToFit="false"/>
      <protection locked="true" hidden="false"/>
    </xf>
    <xf numFmtId="164" fontId="4" fillId="0" borderId="3" xfId="32" applyFont="true" applyBorder="true" applyAlignment="true" applyProtection="false">
      <alignment horizontal="general" vertical="top" textRotation="0" wrapText="true" indent="0" shrinkToFit="false"/>
      <protection locked="true" hidden="false"/>
    </xf>
    <xf numFmtId="164" fontId="15" fillId="11" borderId="0" xfId="32"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general" vertical="top" textRotation="0" wrapText="true" indent="0" shrinkToFit="false"/>
      <protection locked="true" hidden="false"/>
    </xf>
    <xf numFmtId="164" fontId="15" fillId="12" borderId="0" xfId="0" applyFont="true" applyBorder="false" applyAlignment="true" applyProtection="false">
      <alignment horizontal="general" vertical="top" textRotation="0" wrapText="true" indent="0" shrinkToFit="false"/>
      <protection locked="true" hidden="false"/>
    </xf>
    <xf numFmtId="164" fontId="5" fillId="19" borderId="0" xfId="0" applyFont="true" applyBorder="false" applyAlignment="true" applyProtection="false">
      <alignment horizontal="general" vertical="top" textRotation="0" wrapText="true" indent="0" shrinkToFit="false"/>
      <protection locked="true" hidden="false"/>
    </xf>
    <xf numFmtId="164" fontId="5" fillId="20" borderId="0" xfId="0" applyFont="true" applyBorder="false" applyAlignment="true" applyProtection="false">
      <alignment horizontal="general" vertical="top" textRotation="0" wrapText="true" indent="0" shrinkToFit="false"/>
      <protection locked="true" hidden="false"/>
    </xf>
    <xf numFmtId="164" fontId="15" fillId="20" borderId="0" xfId="0" applyFont="true" applyBorder="false" applyAlignment="true" applyProtection="false">
      <alignment horizontal="general" vertical="top" textRotation="0" wrapText="true" indent="0" shrinkToFit="false"/>
      <protection locked="true" hidden="false"/>
    </xf>
    <xf numFmtId="164" fontId="11" fillId="20" borderId="0" xfId="0" applyFont="true" applyBorder="false" applyAlignment="true" applyProtection="false">
      <alignment horizontal="general" vertical="top" textRotation="0" wrapText="true" indent="0" shrinkToFit="false"/>
      <protection locked="true" hidden="false"/>
    </xf>
    <xf numFmtId="164" fontId="15" fillId="8" borderId="0" xfId="32" applyFont="true" applyBorder="true" applyAlignment="true" applyProtection="false">
      <alignment horizontal="center" vertical="center" textRotation="0" wrapText="true" indent="0" shrinkToFit="false"/>
      <protection locked="true" hidden="false"/>
    </xf>
    <xf numFmtId="164" fontId="12" fillId="8" borderId="0" xfId="32" applyFont="true" applyBorder="true" applyAlignment="true" applyProtection="false">
      <alignment horizontal="center" vertical="center" textRotation="0" wrapText="true" indent="0" shrinkToFit="false"/>
      <protection locked="true" hidden="false"/>
    </xf>
    <xf numFmtId="178" fontId="15" fillId="0" borderId="0" xfId="32" applyFont="true" applyBorder="true" applyAlignment="true" applyProtection="false">
      <alignment horizontal="general" vertical="top" textRotation="0" wrapText="true" indent="0" shrinkToFit="false"/>
      <protection locked="true" hidden="false"/>
    </xf>
    <xf numFmtId="177" fontId="15" fillId="0" borderId="0" xfId="32" applyFont="true" applyBorder="true" applyAlignment="true" applyProtection="false">
      <alignment horizontal="general" vertical="top" textRotation="0" wrapText="true" indent="0" shrinkToFit="false"/>
      <protection locked="true" hidden="false"/>
    </xf>
    <xf numFmtId="177" fontId="4" fillId="0" borderId="0" xfId="32" applyFont="true" applyBorder="true" applyAlignment="true" applyProtection="false">
      <alignment horizontal="general" vertical="top" textRotation="0" wrapText="true" indent="0" shrinkToFit="false"/>
      <protection locked="true" hidden="false"/>
    </xf>
    <xf numFmtId="178" fontId="4" fillId="0" borderId="0" xfId="32" applyFont="true" applyBorder="true" applyAlignment="true" applyProtection="false">
      <alignment horizontal="general" vertical="top" textRotation="0" wrapText="true" indent="0" shrinkToFit="false"/>
      <protection locked="true" hidden="false"/>
    </xf>
    <xf numFmtId="178" fontId="5" fillId="0" borderId="0" xfId="32" applyFont="true" applyBorder="true" applyAlignment="true" applyProtection="false">
      <alignment horizontal="general" vertical="top" textRotation="0" wrapText="true" indent="0" shrinkToFit="false"/>
      <protection locked="true" hidden="false"/>
    </xf>
    <xf numFmtId="177" fontId="5" fillId="0" borderId="0" xfId="32" applyFont="true" applyBorder="true" applyAlignment="true" applyProtection="false">
      <alignment horizontal="general" vertical="top" textRotation="0" wrapText="true" indent="0" shrinkToFit="false"/>
      <protection locked="true" hidden="false"/>
    </xf>
    <xf numFmtId="164" fontId="5" fillId="20" borderId="0" xfId="32" applyFont="true" applyBorder="true" applyAlignment="true" applyProtection="false">
      <alignment horizontal="general" vertical="top" textRotation="0" wrapText="true" indent="0" shrinkToFit="false"/>
      <protection locked="true" hidden="false"/>
    </xf>
    <xf numFmtId="164" fontId="12" fillId="21" borderId="0" xfId="32" applyFont="true" applyBorder="true" applyAlignment="true" applyProtection="false">
      <alignment horizontal="general" vertical="top" textRotation="0" wrapText="true" indent="0" shrinkToFit="false"/>
      <protection locked="true" hidden="false"/>
    </xf>
    <xf numFmtId="164" fontId="23" fillId="21" borderId="0" xfId="32" applyFont="true" applyBorder="true" applyAlignment="true" applyProtection="false">
      <alignment horizontal="general" vertical="top" textRotation="0" wrapText="true" indent="0" shrinkToFit="false"/>
      <protection locked="true" hidden="false"/>
    </xf>
    <xf numFmtId="164" fontId="4" fillId="22" borderId="0" xfId="32" applyFont="true" applyBorder="true" applyAlignment="true" applyProtection="false">
      <alignment horizontal="general" vertical="top" textRotation="0" wrapText="true" indent="0" shrinkToFit="false"/>
      <protection locked="true" hidden="false"/>
    </xf>
    <xf numFmtId="179" fontId="5" fillId="0" borderId="0" xfId="32" applyFont="true" applyBorder="true" applyAlignment="true" applyProtection="false">
      <alignment horizontal="general" vertical="top" textRotation="0" wrapText="true" indent="0" shrinkToFit="false"/>
      <protection locked="true" hidden="false"/>
    </xf>
    <xf numFmtId="175" fontId="4" fillId="0" borderId="0" xfId="32" applyFont="true" applyBorder="true" applyAlignment="true" applyProtection="false">
      <alignment horizontal="general" vertical="top" textRotation="0" wrapText="true" indent="0" shrinkToFit="false"/>
      <protection locked="true" hidden="false"/>
    </xf>
    <xf numFmtId="164" fontId="5" fillId="11" borderId="0" xfId="32" applyFont="true" applyBorder="true" applyAlignment="true" applyProtection="false">
      <alignment horizontal="general" vertical="top" textRotation="0" wrapText="true" indent="0" shrinkToFit="false"/>
      <protection locked="true" hidden="false"/>
    </xf>
    <xf numFmtId="175" fontId="15" fillId="0" borderId="0" xfId="32" applyFont="true" applyBorder="true" applyAlignment="true" applyProtection="false">
      <alignment horizontal="general" vertical="top" textRotation="0" wrapText="true" indent="0" shrinkToFit="false"/>
      <protection locked="true" hidden="false"/>
    </xf>
    <xf numFmtId="164" fontId="6" fillId="5" borderId="0" xfId="32" applyFont="true" applyBorder="true" applyAlignment="true" applyProtection="false">
      <alignment horizontal="general" vertical="top" textRotation="0" wrapText="true" indent="0" shrinkToFit="false"/>
      <protection locked="true" hidden="false"/>
    </xf>
    <xf numFmtId="164" fontId="15" fillId="20" borderId="0" xfId="32" applyFont="true" applyBorder="true" applyAlignment="true" applyProtection="false">
      <alignment horizontal="general" vertical="top" textRotation="0" wrapText="true" indent="0" shrinkToFit="false"/>
      <protection locked="true" hidden="false"/>
    </xf>
    <xf numFmtId="164" fontId="24" fillId="3" borderId="0" xfId="32" applyFont="true" applyBorder="true" applyAlignment="true" applyProtection="false">
      <alignment horizontal="general" vertical="top" textRotation="0" wrapText="true" indent="0" shrinkToFit="false"/>
      <protection locked="true" hidden="false"/>
    </xf>
    <xf numFmtId="164" fontId="5" fillId="19" borderId="0" xfId="32" applyFont="true" applyBorder="true" applyAlignment="true" applyProtection="false">
      <alignment horizontal="general" vertical="top" textRotation="0" wrapText="true" indent="0" shrinkToFit="false"/>
      <protection locked="true" hidden="false"/>
    </xf>
    <xf numFmtId="164" fontId="6" fillId="23" borderId="0" xfId="32" applyFont="true" applyBorder="true" applyAlignment="true" applyProtection="false">
      <alignment horizontal="general" vertical="top" textRotation="0" wrapText="true" indent="0" shrinkToFit="false"/>
      <protection locked="true" hidden="false"/>
    </xf>
    <xf numFmtId="164" fontId="10" fillId="23" borderId="0" xfId="32" applyFont="true" applyBorder="true" applyAlignment="true" applyProtection="false">
      <alignment horizontal="general" vertical="top" textRotation="0" wrapText="true" indent="0" shrinkToFit="false"/>
      <protection locked="true" hidden="false"/>
    </xf>
    <xf numFmtId="164" fontId="25" fillId="12" borderId="0" xfId="32" applyFont="true" applyBorder="true" applyAlignment="true" applyProtection="false">
      <alignment horizontal="general" vertical="top" textRotation="0" wrapText="true" indent="0" shrinkToFit="false"/>
      <protection locked="true" hidden="false"/>
    </xf>
    <xf numFmtId="164" fontId="11" fillId="24" borderId="0" xfId="32" applyFont="true" applyBorder="true" applyAlignment="true" applyProtection="false">
      <alignment horizontal="general" vertical="top" textRotation="0" wrapText="true" indent="0" shrinkToFit="false"/>
      <protection locked="true" hidden="false"/>
    </xf>
    <xf numFmtId="164" fontId="5" fillId="24" borderId="0" xfId="32" applyFont="true" applyBorder="true" applyAlignment="true" applyProtection="false">
      <alignment horizontal="general" vertical="top" textRotation="0" wrapText="true" indent="0" shrinkToFit="false"/>
      <protection locked="true" hidden="false"/>
    </xf>
    <xf numFmtId="164" fontId="5" fillId="25" borderId="0" xfId="32" applyFont="true" applyBorder="true" applyAlignment="true" applyProtection="false">
      <alignment horizontal="general" vertical="top" textRotation="0" wrapText="true" indent="0" shrinkToFit="false"/>
      <protection locked="true" hidden="false"/>
    </xf>
    <xf numFmtId="164" fontId="5" fillId="26" borderId="0" xfId="32" applyFont="true" applyBorder="true" applyAlignment="true" applyProtection="false">
      <alignment horizontal="general" vertical="top" textRotation="0" wrapText="true" indent="0" shrinkToFit="false"/>
      <protection locked="true" hidden="false"/>
    </xf>
    <xf numFmtId="164" fontId="11" fillId="27" borderId="4" xfId="32" applyFont="true" applyBorder="true" applyAlignment="true" applyProtection="false">
      <alignment horizontal="general" vertical="top" textRotation="0" wrapText="true" indent="0" shrinkToFit="false"/>
      <protection locked="true" hidden="false"/>
    </xf>
    <xf numFmtId="164" fontId="5" fillId="0" borderId="4" xfId="32" applyFont="true" applyBorder="true" applyAlignment="true" applyProtection="false">
      <alignment horizontal="general" vertical="top" textRotation="0" wrapText="true" indent="0" shrinkToFit="false"/>
      <protection locked="true" hidden="false"/>
    </xf>
    <xf numFmtId="164" fontId="5" fillId="12" borderId="0" xfId="0" applyFont="true" applyBorder="false" applyAlignment="true" applyProtection="false">
      <alignment horizontal="general" vertical="top" textRotation="0" wrapText="true" indent="0" shrinkToFit="false"/>
      <protection locked="true" hidden="false"/>
    </xf>
    <xf numFmtId="164" fontId="16" fillId="10" borderId="0" xfId="0" applyFont="true" applyBorder="false" applyAlignment="true" applyProtection="false">
      <alignment horizontal="general" vertical="top" textRotation="0" wrapText="true" indent="0" shrinkToFit="false"/>
      <protection locked="true" hidden="false"/>
    </xf>
    <xf numFmtId="164" fontId="17" fillId="10" borderId="0" xfId="0" applyFont="true" applyBorder="false" applyAlignment="true" applyProtection="false">
      <alignment horizontal="general" vertical="top" textRotation="0" wrapText="true" indent="0" shrinkToFit="false"/>
      <protection locked="true" hidden="false"/>
    </xf>
    <xf numFmtId="164" fontId="18" fillId="10" borderId="0" xfId="0" applyFont="true" applyBorder="false" applyAlignment="true" applyProtection="false">
      <alignment horizontal="general" vertical="top" textRotation="0" wrapText="true" indent="0" shrinkToFit="false"/>
      <protection locked="true" hidden="false"/>
    </xf>
    <xf numFmtId="164" fontId="5" fillId="10" borderId="0" xfId="0" applyFont="true" applyBorder="false" applyAlignment="true" applyProtection="false">
      <alignment horizontal="general" vertical="top" textRotation="0" wrapText="true" indent="0" shrinkToFit="false"/>
      <protection locked="true" hidden="false"/>
    </xf>
    <xf numFmtId="164" fontId="26" fillId="10" borderId="0" xfId="0" applyFont="true" applyBorder="false" applyAlignment="true" applyProtection="false">
      <alignment horizontal="general" vertical="top" textRotation="0" wrapText="true" indent="0" shrinkToFit="false"/>
      <protection locked="true" hidden="false"/>
    </xf>
    <xf numFmtId="164" fontId="27" fillId="10" borderId="0" xfId="0" applyFont="true" applyBorder="false" applyAlignment="true" applyProtection="false">
      <alignment horizontal="general" vertical="top" textRotation="0" wrapText="true" indent="0" shrinkToFit="false"/>
      <protection locked="true" hidden="false"/>
    </xf>
    <xf numFmtId="164" fontId="28" fillId="10" borderId="0" xfId="0" applyFont="true" applyBorder="false" applyAlignment="true" applyProtection="false">
      <alignment horizontal="general" vertical="top" textRotation="0" wrapText="true" indent="0" shrinkToFit="false"/>
      <protection locked="true" hidden="false"/>
    </xf>
    <xf numFmtId="164" fontId="29" fillId="10" borderId="0" xfId="0" applyFont="true" applyBorder="true" applyAlignment="true" applyProtection="false">
      <alignment horizontal="general" vertical="top" textRotation="0" wrapText="true" indent="0" shrinkToFit="false"/>
      <protection locked="true" hidden="false"/>
    </xf>
    <xf numFmtId="164" fontId="4" fillId="10" borderId="0" xfId="0" applyFont="true" applyBorder="false" applyAlignment="true" applyProtection="false">
      <alignment horizontal="general" vertical="top" textRotation="0" wrapText="true" indent="0" shrinkToFit="false"/>
      <protection locked="true" hidden="false"/>
    </xf>
    <xf numFmtId="164" fontId="29" fillId="10" borderId="0" xfId="0" applyFont="true" applyBorder="false" applyAlignment="true" applyProtection="false">
      <alignment horizontal="general" vertical="top" textRotation="0" wrapText="true" indent="0" shrinkToFit="false"/>
      <protection locked="true" hidden="false"/>
    </xf>
    <xf numFmtId="164" fontId="12" fillId="6" borderId="0" xfId="0" applyFont="true" applyBorder="false" applyAlignment="true" applyProtection="false">
      <alignment horizontal="general" vertical="top" textRotation="0" wrapText="true" indent="0" shrinkToFit="false"/>
      <protection locked="true" hidden="false"/>
    </xf>
    <xf numFmtId="164" fontId="10" fillId="5" borderId="0" xfId="0" applyFont="true" applyBorder="false" applyAlignment="true" applyProtection="false">
      <alignment horizontal="general" vertical="top" textRotation="0" wrapText="true" indent="0" shrinkToFit="false"/>
      <protection locked="true" hidden="false"/>
    </xf>
    <xf numFmtId="164" fontId="17" fillId="0" borderId="0" xfId="0" applyFont="true" applyBorder="false" applyAlignment="true" applyProtection="false">
      <alignment horizontal="general" vertical="top" textRotation="0" wrapText="true" indent="0" shrinkToFit="false"/>
      <protection locked="true" hidden="false"/>
    </xf>
    <xf numFmtId="164" fontId="5" fillId="8" borderId="0" xfId="0" applyFont="true" applyBorder="false" applyAlignment="true" applyProtection="false">
      <alignment horizontal="general" vertical="top" textRotation="0" wrapText="true" indent="0" shrinkToFit="false"/>
      <protection locked="true" hidden="false"/>
    </xf>
    <xf numFmtId="164" fontId="30" fillId="17" borderId="0" xfId="32" applyFont="true" applyBorder="true" applyAlignment="true" applyProtection="false">
      <alignment horizontal="center" vertical="center" textRotation="0" wrapText="true" indent="0" shrinkToFit="false"/>
      <protection locked="true" hidden="false"/>
    </xf>
    <xf numFmtId="164" fontId="15" fillId="16" borderId="0" xfId="32" applyFont="true" applyBorder="true" applyAlignment="true" applyProtection="false">
      <alignment horizontal="general" vertical="top" textRotation="0" wrapText="true" indent="0" shrinkToFit="false"/>
      <protection locked="true" hidden="false"/>
    </xf>
    <xf numFmtId="164" fontId="12" fillId="16" borderId="0" xfId="32" applyFont="true" applyBorder="true" applyAlignment="true" applyProtection="false">
      <alignment horizontal="general" vertical="top" textRotation="0" wrapText="true" indent="0" shrinkToFit="false"/>
      <protection locked="true" hidden="false"/>
    </xf>
    <xf numFmtId="164" fontId="15" fillId="18" borderId="0" xfId="32" applyFont="true" applyBorder="true" applyAlignment="true" applyProtection="false">
      <alignment horizontal="general" vertical="top" textRotation="0" wrapText="true" indent="0" shrinkToFit="false"/>
      <protection locked="true" hidden="false"/>
    </xf>
    <xf numFmtId="164" fontId="12" fillId="7" borderId="0" xfId="32" applyFont="true" applyBorder="true" applyAlignment="true" applyProtection="false">
      <alignment horizontal="general" vertical="top" textRotation="0" wrapText="true" indent="0" shrinkToFit="false"/>
      <protection locked="true" hidden="false"/>
    </xf>
    <xf numFmtId="164" fontId="11" fillId="3" borderId="0" xfId="32" applyFont="true" applyBorder="true" applyAlignment="true" applyProtection="false">
      <alignment horizontal="general" vertical="top" textRotation="0" wrapText="true" indent="0" shrinkToFit="false"/>
      <protection locked="true" hidden="false"/>
    </xf>
    <xf numFmtId="164" fontId="12" fillId="3" borderId="0" xfId="32" applyFont="true" applyBorder="true" applyAlignment="true" applyProtection="false">
      <alignment horizontal="general" vertical="top" textRotation="0" wrapText="true" indent="0" shrinkToFit="false"/>
      <protection locked="true" hidden="false"/>
    </xf>
    <xf numFmtId="164" fontId="15" fillId="3" borderId="0" xfId="32" applyFont="true" applyBorder="true" applyAlignment="true" applyProtection="false">
      <alignment horizontal="general" vertical="top" textRotation="0" wrapText="true" indent="0" shrinkToFit="false"/>
      <protection locked="true" hidden="false"/>
    </xf>
    <xf numFmtId="164" fontId="26" fillId="0" borderId="0" xfId="32" applyFont="true" applyBorder="true" applyAlignment="true" applyProtection="false">
      <alignment horizontal="general" vertical="top" textRotation="0" wrapText="true" indent="0" shrinkToFit="false"/>
      <protection locked="true" hidden="false"/>
    </xf>
    <xf numFmtId="164" fontId="17" fillId="0" borderId="0" xfId="32" applyFont="true" applyBorder="true" applyAlignment="true" applyProtection="false">
      <alignment horizontal="general" vertical="top" textRotation="0" wrapText="true" indent="0" shrinkToFit="false"/>
      <protection locked="true" hidden="false"/>
    </xf>
    <xf numFmtId="164" fontId="15" fillId="9" borderId="0" xfId="0" applyFont="true" applyBorder="false" applyAlignment="true" applyProtection="false">
      <alignment horizontal="general" vertical="top" textRotation="0" wrapText="true" indent="0" shrinkToFit="false"/>
      <protection locked="true" hidden="false"/>
    </xf>
    <xf numFmtId="164" fontId="12" fillId="7" borderId="0" xfId="0" applyFont="true" applyBorder="false" applyAlignment="true" applyProtection="false">
      <alignment horizontal="general" vertical="top" textRotation="0" wrapText="true" indent="0" shrinkToFit="false"/>
      <protection locked="true" hidden="false"/>
    </xf>
    <xf numFmtId="164" fontId="12" fillId="0" borderId="0" xfId="0" applyFont="true" applyBorder="false" applyAlignment="true" applyProtection="false">
      <alignment horizontal="general" vertical="top" textRotation="0" wrapText="true" indent="0" shrinkToFit="false"/>
      <protection locked="true" hidden="false"/>
    </xf>
    <xf numFmtId="164" fontId="10" fillId="28" borderId="0" xfId="0" applyFont="true" applyBorder="false" applyAlignment="true" applyProtection="false">
      <alignment horizontal="general" vertical="top" textRotation="0" wrapText="true" indent="0" shrinkToFit="false"/>
      <protection locked="true" hidden="false"/>
    </xf>
    <xf numFmtId="164" fontId="10" fillId="23" borderId="0" xfId="0" applyFont="true" applyBorder="false" applyAlignment="true" applyProtection="false">
      <alignment horizontal="general" vertical="top" textRotation="0" wrapText="true" indent="0" shrinkToFit="false"/>
      <protection locked="true" hidden="false"/>
    </xf>
    <xf numFmtId="164" fontId="12" fillId="7" borderId="0" xfId="0" applyFont="true" applyBorder="true" applyAlignment="true" applyProtection="false">
      <alignment horizontal="general" vertical="top" textRotation="0" wrapText="true" indent="0" shrinkToFit="false"/>
      <protection locked="true" hidden="false"/>
    </xf>
    <xf numFmtId="164" fontId="4" fillId="0" borderId="0" xfId="0" applyFont="true" applyBorder="true" applyAlignment="true" applyProtection="false">
      <alignment horizontal="general" vertical="top" textRotation="0" wrapText="true" indent="0" shrinkToFit="false"/>
      <protection locked="true" hidden="false"/>
    </xf>
  </cellXfs>
  <cellStyles count="25">
    <cellStyle name="Normal" xfId="0" builtinId="0"/>
    <cellStyle name="Comma" xfId="15" builtinId="3"/>
    <cellStyle name="Comma [0]" xfId="16" builtinId="6"/>
    <cellStyle name="Currency" xfId="17" builtinId="4"/>
    <cellStyle name="Currency [0]" xfId="18" builtinId="7"/>
    <cellStyle name="Percent" xfId="19" builtinId="5"/>
    <cellStyle name="Comma" xfId="20"/>
    <cellStyle name="Comma 1" xfId="21"/>
    <cellStyle name="Comma 2" xfId="22"/>
    <cellStyle name="Comma [0]" xfId="23"/>
    <cellStyle name="Comma [0] 2" xfId="24"/>
    <cellStyle name="Comma [0] 3" xfId="25"/>
    <cellStyle name="Currency" xfId="26"/>
    <cellStyle name="Currency 3" xfId="27"/>
    <cellStyle name="Currency 4" xfId="28"/>
    <cellStyle name="Currency [0]" xfId="29"/>
    <cellStyle name="Currency [0] 4" xfId="30"/>
    <cellStyle name="Currency [0] 5" xfId="31"/>
    <cellStyle name="Normal" xfId="32"/>
    <cellStyle name="Normal 2" xfId="33"/>
    <cellStyle name="Normal 5" xfId="34"/>
    <cellStyle name="Normal 6" xfId="35"/>
    <cellStyle name="Percent" xfId="36"/>
    <cellStyle name="Percent 6" xfId="37"/>
    <cellStyle name="Percent 7" xfId="38"/>
  </cellStyles>
  <dxfs count="10">
    <dxf>
      <fill>
        <patternFill patternType="solid">
          <fgColor rgb="FF1F4E79"/>
          <bgColor rgb="FF000000"/>
        </patternFill>
      </fill>
    </dxf>
    <dxf>
      <fill>
        <patternFill patternType="solid">
          <bgColor rgb="FF000000"/>
        </patternFill>
      </fill>
    </dxf>
    <dxf>
      <fill>
        <patternFill patternType="solid">
          <fgColor rgb="FFFFFFFF"/>
          <bgColor rgb="FF000000"/>
        </patternFill>
      </fill>
    </dxf>
    <dxf>
      <fill>
        <patternFill patternType="solid">
          <fgColor rgb="FF1F4E78"/>
          <bgColor rgb="FF000000"/>
        </patternFill>
      </fill>
    </dxf>
    <dxf>
      <fill>
        <patternFill patternType="solid">
          <fgColor rgb="FFE2F0D9"/>
          <bgColor rgb="FF000000"/>
        </patternFill>
      </fill>
    </dxf>
    <dxf>
      <fill>
        <patternFill patternType="solid">
          <fgColor rgb="FFFCE4D6"/>
          <bgColor rgb="FF000000"/>
        </patternFill>
      </fill>
    </dxf>
    <dxf>
      <fill>
        <patternFill patternType="solid">
          <fgColor rgb="FF006100"/>
          <bgColor rgb="FF000000"/>
        </patternFill>
      </fill>
    </dxf>
    <dxf>
      <fill>
        <patternFill patternType="solid">
          <fgColor rgb="FF9C0006"/>
          <bgColor rgb="FF000000"/>
        </patternFill>
      </fill>
    </dxf>
    <dxf>
      <font>
        <b val="1"/>
        <color rgb="FF9C0006"/>
      </font>
      <fill>
        <patternFill>
          <bgColor rgb="FFFCE4D6"/>
        </patternFill>
      </fill>
    </dxf>
    <dxf>
      <font>
        <b val="1"/>
        <color rgb="FF006100"/>
      </font>
      <fill>
        <patternFill>
          <bgColor rgb="FFE2F0D9"/>
        </patternFill>
      </fill>
    </dxf>
  </dxfs>
  <colors>
    <indexedColors>
      <rgbColor rgb="FF000000"/>
      <rgbColor rgb="FFFFFFFF"/>
      <rgbColor rgb="FFFF0000"/>
      <rgbColor rgb="FF00FF00"/>
      <rgbColor rgb="FF0000FF"/>
      <rgbColor rgb="FFFFF2CC"/>
      <rgbColor rgb="FFFF00FF"/>
      <rgbColor rgb="FFEEF2FF"/>
      <rgbColor rgb="FF9C0006"/>
      <rgbColor rgb="FF006100"/>
      <rgbColor rgb="FF000080"/>
      <rgbColor rgb="FF808000"/>
      <rgbColor rgb="FF800080"/>
      <rgbColor rgb="FF0F766E"/>
      <rgbColor rgb="FFBFBFBF"/>
      <rgbColor rgb="FFE8F0FE"/>
      <rgbColor rgb="FFDDDDDD"/>
      <rgbColor rgb="FF993366"/>
      <rgbColor rgb="FFFFFFCC"/>
      <rgbColor rgb="FFE0F2F1"/>
      <rgbColor rgb="FF660066"/>
      <rgbColor rgb="FFE2EFDA"/>
      <rgbColor rgb="FF1F4E79"/>
      <rgbColor rgb="FFB4C7E7"/>
      <rgbColor rgb="FF000080"/>
      <rgbColor rgb="FFFF00FF"/>
      <rgbColor rgb="FFFFE6CC"/>
      <rgbColor rgb="FFF8FAFC"/>
      <rgbColor rgb="FF800080"/>
      <rgbColor rgb="FF800000"/>
      <rgbColor rgb="FF155E75"/>
      <rgbColor rgb="FF0000FF"/>
      <rgbColor rgb="FF00CCFF"/>
      <rgbColor rgb="FFD9EAF7"/>
      <rgbColor rgb="FFC6EFCE"/>
      <rgbColor rgb="FFFFEB9C"/>
      <rgbColor rgb="FFCCCCCC"/>
      <rgbColor rgb="FFFFC7CE"/>
      <rgbColor rgb="FFD9D9D9"/>
      <rgbColor rgb="FFFFCCCC"/>
      <rgbColor rgb="FF2E75B6"/>
      <rgbColor rgb="FFDDEBF7"/>
      <rgbColor rgb="FFD9EAD3"/>
      <rgbColor rgb="FFFCE4D6"/>
      <rgbColor rgb="FFE2F0D9"/>
      <rgbColor rgb="FFFF6600"/>
      <rgbColor rgb="FF666699"/>
      <rgbColor rgb="FF999999"/>
      <rgbColor rgb="FF1F4E78"/>
      <rgbColor rgb="FF339966"/>
      <rgbColor rgb="FF0F172A"/>
      <rgbColor rgb="FF333300"/>
      <rgbColor rgb="FF993300"/>
      <rgbColor rgb="FF993366"/>
      <rgbColor rgb="FF334155"/>
      <rgbColor rgb="FF1F2937"/>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worksheet" Target="worksheets/sheet11.xml"/><Relationship Id="rId14" Type="http://schemas.openxmlformats.org/officeDocument/2006/relationships/worksheet" Target="worksheets/sheet12.xml"/><Relationship Id="rId15" Type="http://schemas.openxmlformats.org/officeDocument/2006/relationships/worksheet" Target="worksheets/sheet13.xml"/><Relationship Id="rId16" Type="http://schemas.openxmlformats.org/officeDocument/2006/relationships/worksheet" Target="worksheets/sheet14.xml"/><Relationship Id="rId17" Type="http://schemas.openxmlformats.org/officeDocument/2006/relationships/worksheet" Target="worksheets/sheet15.xml"/><Relationship Id="rId18" Type="http://schemas.openxmlformats.org/officeDocument/2006/relationships/worksheet" Target="worksheets/sheet16.xml"/><Relationship Id="rId19" Type="http://schemas.openxmlformats.org/officeDocument/2006/relationships/worksheet" Target="worksheets/sheet17.xml"/><Relationship Id="rId20" Type="http://schemas.openxmlformats.org/officeDocument/2006/relationships/worksheet" Target="worksheets/sheet18.xml"/><Relationship Id="rId21" Type="http://schemas.openxmlformats.org/officeDocument/2006/relationships/worksheet" Target="worksheets/sheet19.xml"/><Relationship Id="rId22" Type="http://schemas.openxmlformats.org/officeDocument/2006/relationships/worksheet" Target="worksheets/sheet20.xml"/><Relationship Id="rId23" Type="http://schemas.openxmlformats.org/officeDocument/2006/relationships/worksheet" Target="worksheets/sheet21.xml"/><Relationship Id="rId24" Type="http://schemas.openxmlformats.org/officeDocument/2006/relationships/worksheet" Target="worksheets/sheet22.xml"/><Relationship Id="rId25" Type="http://schemas.openxmlformats.org/officeDocument/2006/relationships/worksheet" Target="worksheets/sheet23.xml"/><Relationship Id="rId26" Type="http://schemas.openxmlformats.org/officeDocument/2006/relationships/worksheet" Target="worksheets/sheet24.xml"/><Relationship Id="rId27" Type="http://schemas.openxmlformats.org/officeDocument/2006/relationships/worksheet" Target="worksheets/sheet25.xml"/><Relationship Id="rId28" Type="http://schemas.openxmlformats.org/officeDocument/2006/relationships/worksheet" Target="worksheets/sheet26.xml"/><Relationship Id="rId29" Type="http://schemas.openxmlformats.org/officeDocument/2006/relationships/worksheet" Target="worksheets/sheet27.xml"/><Relationship Id="rId30" Type="http://schemas.openxmlformats.org/officeDocument/2006/relationships/worksheet" Target="worksheets/sheet28.xml"/><Relationship Id="rId31" Type="http://schemas.openxmlformats.org/officeDocument/2006/relationships/worksheet" Target="worksheets/sheet29.xml"/><Relationship Id="rId32" Type="http://schemas.openxmlformats.org/officeDocument/2006/relationships/worksheet" Target="worksheets/sheet30.xml"/><Relationship Id="rId33" Type="http://schemas.openxmlformats.org/officeDocument/2006/relationships/worksheet" Target="worksheets/sheet31.xml"/><Relationship Id="rId34" Type="http://schemas.openxmlformats.org/officeDocument/2006/relationships/worksheet" Target="worksheets/sheet32.xml"/><Relationship Id="rId35" Type="http://schemas.openxmlformats.org/officeDocument/2006/relationships/worksheet" Target="worksheets/sheet33.xml"/><Relationship Id="rId36" Type="http://schemas.openxmlformats.org/officeDocument/2006/relationships/worksheet" Target="worksheets/sheet34.xml"/><Relationship Id="rId37" Type="http://schemas.openxmlformats.org/officeDocument/2006/relationships/worksheet" Target="worksheets/sheet35.xml"/><Relationship Id="rId38" Type="http://schemas.openxmlformats.org/officeDocument/2006/relationships/worksheet" Target="worksheets/sheet36.xml"/><Relationship Id="rId39" Type="http://schemas.openxmlformats.org/officeDocument/2006/relationships/worksheet" Target="worksheets/sheet37.xml"/><Relationship Id="rId40" Type="http://schemas.openxmlformats.org/officeDocument/2006/relationships/worksheet" Target="worksheets/sheet38.xml"/><Relationship Id="rId41" Type="http://schemas.openxmlformats.org/officeDocument/2006/relationships/worksheet" Target="worksheets/sheet39.xml"/><Relationship Id="rId42" Type="http://schemas.openxmlformats.org/officeDocument/2006/relationships/worksheet" Target="worksheets/sheet40.xml"/><Relationship Id="rId43" Type="http://schemas.openxmlformats.org/officeDocument/2006/relationships/worksheet" Target="worksheets/sheet41.xml"/><Relationship Id="rId44" Type="http://schemas.openxmlformats.org/officeDocument/2006/relationships/worksheet" Target="worksheets/sheet42.xml"/><Relationship Id="rId45" Type="http://schemas.openxmlformats.org/officeDocument/2006/relationships/worksheet" Target="worksheets/sheet43.xml"/><Relationship Id="rId46" Type="http://schemas.openxmlformats.org/officeDocument/2006/relationships/worksheet" Target="worksheets/sheet44.xml"/><Relationship Id="rId47" Type="http://schemas.openxmlformats.org/officeDocument/2006/relationships/worksheet" Target="worksheets/sheet45.xml"/><Relationship Id="rId48" Type="http://schemas.openxmlformats.org/officeDocument/2006/relationships/worksheet" Target="worksheets/sheet46.xml"/><Relationship Id="rId49" Type="http://schemas.openxmlformats.org/officeDocument/2006/relationships/worksheet" Target="worksheets/sheet47.xml"/><Relationship Id="rId50" Type="http://schemas.openxmlformats.org/officeDocument/2006/relationships/worksheet" Target="worksheets/sheet48.xml"/><Relationship Id="rId51" Type="http://schemas.openxmlformats.org/officeDocument/2006/relationships/worksheet" Target="worksheets/sheet49.xml"/><Relationship Id="rId52" Type="http://schemas.openxmlformats.org/officeDocument/2006/relationships/worksheet" Target="worksheets/sheet50.xml"/><Relationship Id="rId53" Type="http://schemas.openxmlformats.org/officeDocument/2006/relationships/worksheet" Target="worksheets/sheet51.xml"/><Relationship Id="rId54" Type="http://schemas.openxmlformats.org/officeDocument/2006/relationships/worksheet" Target="worksheets/sheet52.xml"/><Relationship Id="rId55" Type="http://schemas.openxmlformats.org/officeDocument/2006/relationships/worksheet" Target="worksheets/sheet53.xml"/><Relationship Id="rId56" Type="http://schemas.openxmlformats.org/officeDocument/2006/relationships/worksheet" Target="worksheets/sheet54.xml"/><Relationship Id="rId57" Type="http://schemas.openxmlformats.org/officeDocument/2006/relationships/worksheet" Target="worksheets/sheet55.xml"/><Relationship Id="rId58" Type="http://schemas.openxmlformats.org/officeDocument/2006/relationships/worksheet" Target="worksheets/sheet56.xml"/><Relationship Id="rId59" Type="http://schemas.openxmlformats.org/officeDocument/2006/relationships/worksheet" Target="worksheets/sheet57.xml"/><Relationship Id="rId60" Type="http://schemas.openxmlformats.org/officeDocument/2006/relationships/worksheet" Target="worksheets/sheet58.xml"/><Relationship Id="rId61" Type="http://schemas.openxmlformats.org/officeDocument/2006/relationships/worksheet" Target="worksheets/sheet59.xml"/><Relationship Id="rId62" Type="http://schemas.openxmlformats.org/officeDocument/2006/relationships/worksheet" Target="worksheets/sheet60.xml"/><Relationship Id="rId63" Type="http://schemas.openxmlformats.org/officeDocument/2006/relationships/worksheet" Target="worksheets/sheet61.xml"/><Relationship Id="rId64" Type="http://schemas.openxmlformats.org/officeDocument/2006/relationships/worksheet" Target="worksheets/sheet62.xml"/><Relationship Id="rId65" Type="http://schemas.openxmlformats.org/officeDocument/2006/relationships/worksheet" Target="worksheets/sheet63.xml"/><Relationship Id="rId66" Type="http://schemas.openxmlformats.org/officeDocument/2006/relationships/worksheet" Target="worksheets/sheet64.xml"/><Relationship Id="rId67" Type="http://schemas.openxmlformats.org/officeDocument/2006/relationships/worksheet" Target="worksheets/sheet65.xml"/><Relationship Id="rId68" Type="http://schemas.openxmlformats.org/officeDocument/2006/relationships/worksheet" Target="worksheets/sheet66.xml"/><Relationship Id="rId69" Type="http://schemas.openxmlformats.org/officeDocument/2006/relationships/worksheet" Target="worksheets/sheet67.xml"/><Relationship Id="rId70" Type="http://schemas.openxmlformats.org/officeDocument/2006/relationships/worksheet" Target="worksheets/sheet68.xml"/><Relationship Id="rId71" Type="http://schemas.openxmlformats.org/officeDocument/2006/relationships/worksheet" Target="worksheets/sheet69.xml"/><Relationship Id="rId72" Type="http://schemas.openxmlformats.org/officeDocument/2006/relationships/worksheet" Target="worksheets/sheet70.xml"/><Relationship Id="rId73" Type="http://schemas.openxmlformats.org/officeDocument/2006/relationships/sharedStrings" Target="sharedStrings.xml"/>
</Relationships>
</file>

<file path=xl/tables/table1.xml><?xml version="1.0" encoding="utf-8"?>
<table xmlns="http://schemas.openxmlformats.org/spreadsheetml/2006/main" id="1" name="CategoryGroundingTable" displayName="CategoryGroundingTable" ref="A7:O30" headerRowCount="1" totalsRowCount="0" totalsRowShown="0">
  <tableColumns count="15">
    <tableColumn id="1" name="Material Category"/>
    <tableColumn id="2" name="Category Role"/>
    <tableColumn id="3" name="Primitive Basis"/>
    <tableColumn id="4" name="Category Definition"/>
    <tableColumn id="5" name="Inclusion Boundary"/>
    <tableColumn id="6" name="Exclusion Boundary"/>
    <tableColumn id="7" name="Reference Structure"/>
    <tableColumn id="8" name="Evidence Surface"/>
    <tableColumn id="9" name="Maturity Status"/>
    <tableColumn id="10" name="Semantic Debt"/>
    <tableColumn id="11" name="Falsification / Revision Trigger"/>
    <tableColumn id="12" name="Reviewer Status"/>
    <tableColumn id="13" name="Required Claim Action"/>
    <tableColumn id="14" name="Failure Class"/>
    <tableColumn id="15" name="Auto Guardrail Recommendation"/>
  </tableColumns>
</table>
</file>

<file path=xl/tables/table2.xml><?xml version="1.0" encoding="utf-8"?>
<table xmlns="http://schemas.openxmlformats.org/spreadsheetml/2006/main" id="2" name="ReferenceStructureRecordTable" displayName="ReferenceStructureRecordTable" ref="A1:Z50" headerRowCount="1" totalsRowCount="0" totalsRowShown="0">
  <tableColumns count="26">
    <tableColumn id="1" name="decision_id"/>
    <tableColumn id="2" name="option_id"/>
    <tableColumn id="3" name="claim_scope"/>
    <tableColumn id="4" name="decision_boundary"/>
    <tableColumn id="5" name="reference_object"/>
    <tableColumn id="6" name="physical_reference"/>
    <tableColumn id="7" name="biological_reference"/>
    <tableColumn id="8" name="social_reference"/>
    <tableColumn id="9" name="ethical_rights_reference"/>
    <tableColumn id="10" name="risk_reference"/>
    <tableColumn id="11" name="governance_authority_reference"/>
    <tableColumn id="12" name="epistemic_reference"/>
    <tableColumn id="13" name="operational_audit_reference"/>
    <tableColumn id="14" name="invariant_constraints"/>
    <tableColumn id="15" name="causal_pathway"/>
    <tableColumn id="16" name="evidence_source"/>
    <tableColumn id="17" name="evidence_status_token"/>
    <tableColumn id="18" name="measurement_maturity_status"/>
    <tableColumn id="19" name="falsification_condition"/>
    <tableColumn id="20" name="adaptation_boundary"/>
    <tableColumn id="21" name="authority_boundary"/>
    <tableColumn id="22" name="refusal_trigger"/>
    <tableColumn id="23" name="reviewer_status"/>
    <tableColumn id="24" name="artifact_hash"/>
    <tableColumn id="25" name="notes"/>
    <tableColumn id="26" name="ReferenceStructureRecord_Status"/>
  </tableColumns>
</table>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pitchFamily="0" charset="1"/>
        <a:ea typeface="Calibri" pitchFamily="0" charset="1"/>
        <a:cs typeface="Calibri" pitchFamily="0" charset="1"/>
      </a:majorFont>
      <a:minorFont>
        <a:latin typeface="Calibri" pitchFamily="0" charset="1"/>
        <a:ea typeface="Calibri" pitchFamily="0" charset="1"/>
        <a:cs typeface="Calibri" pitchFamily="0" charset="1"/>
      </a:minorFont>
    </a:fontScheme>
    <a:fmtScheme>
      <a:fillStyleLst>
        <a:solidFill>
          <a:schemeClr val="phClr"/>
        </a:solidFill>
        <a:solidFill>
          <a:schemeClr val="dk1"/>
        </a:solidFill>
        <a:solidFill>
          <a:schemeClr val="accent1"/>
        </a:solidFill>
      </a:fillStyleLst>
      <a:lnStyleLst>
        <a:ln w="6350">
          <a:prstDash val="solid"/>
        </a:ln>
        <a:ln w="6350">
          <a:prstDash val="solid"/>
        </a:ln>
        <a:ln w="6350">
          <a:prstDash val="solid"/>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vmlDrawing" Target="../drawings/vmlDrawing1.vml"/>
</Relationships>
</file>

<file path=xl/worksheets/_rels/sheet16.xml.rels><?xml version="1.0" encoding="UTF-8"?>
<Relationships xmlns="http://schemas.openxmlformats.org/package/2006/relationships"><Relationship Id="rId1" Type="http://schemas.openxmlformats.org/officeDocument/2006/relationships/table" Target="../tables/table1.xml"/>
</Relationships>
</file>

<file path=xl/worksheets/_rels/sheet60.xml.rels><?xml version="1.0" encoding="UTF-8"?>
<Relationships xmlns="http://schemas.openxmlformats.org/package/2006/relationships"><Relationship Id="rId1" Type="http://schemas.openxmlformats.org/officeDocument/2006/relationships/table" Target="../tables/table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2"/>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4" min="1" style="1" width="36"/>
    <col collapsed="false" customWidth="true" hidden="false" outlineLevel="0" max="12" min="5" style="2" width="10"/>
  </cols>
  <sheetData>
    <row r="1" customFormat="false" ht="26.25" hidden="false" customHeight="true" outlineLevel="0" collapsed="false">
      <c r="A1" s="3" t="s">
        <v>0</v>
      </c>
      <c r="B1" s="3"/>
      <c r="C1" s="3"/>
      <c r="D1" s="3"/>
      <c r="E1" s="3"/>
      <c r="F1" s="3"/>
      <c r="G1" s="3"/>
      <c r="H1" s="3"/>
      <c r="I1" s="3"/>
      <c r="J1" s="3"/>
      <c r="K1" s="3"/>
      <c r="L1" s="3"/>
      <c r="M1" s="3"/>
      <c r="N1" s="3"/>
      <c r="O1" s="3"/>
      <c r="P1" s="3"/>
      <c r="Q1" s="3"/>
      <c r="R1" s="3"/>
      <c r="S1" s="3"/>
      <c r="T1" s="3"/>
      <c r="U1" s="3"/>
      <c r="V1" s="3"/>
      <c r="W1" s="3"/>
      <c r="X1" s="3"/>
      <c r="Y1" s="3"/>
      <c r="Z1" s="3"/>
    </row>
    <row r="2" customFormat="false" ht="12.75" hidden="false" customHeight="true" outlineLevel="0" collapsed="false">
      <c r="A2" s="4" t="s">
        <v>1</v>
      </c>
      <c r="B2" s="5" t="s">
        <v>2</v>
      </c>
      <c r="C2" s="5"/>
      <c r="D2" s="5"/>
      <c r="E2" s="5"/>
      <c r="F2" s="5"/>
      <c r="G2" s="5"/>
      <c r="H2" s="5"/>
      <c r="I2" s="5"/>
      <c r="J2" s="5"/>
      <c r="K2" s="5"/>
      <c r="L2" s="5"/>
      <c r="M2" s="5"/>
      <c r="N2" s="5"/>
      <c r="O2" s="5"/>
      <c r="P2" s="5"/>
      <c r="Q2" s="5"/>
      <c r="R2" s="5"/>
      <c r="S2" s="5"/>
      <c r="T2" s="5"/>
      <c r="U2" s="5"/>
      <c r="V2" s="5"/>
      <c r="W2" s="5"/>
      <c r="X2" s="5"/>
      <c r="Y2" s="5"/>
      <c r="Z2" s="5"/>
    </row>
    <row r="3" customFormat="false" ht="12.75" hidden="false" customHeight="true" outlineLevel="0" collapsed="false">
      <c r="A3" s="6" t="s">
        <v>3</v>
      </c>
      <c r="B3" s="7" t="s">
        <v>4</v>
      </c>
      <c r="C3" s="5"/>
      <c r="D3" s="5"/>
      <c r="E3" s="5"/>
      <c r="F3" s="5"/>
      <c r="G3" s="5"/>
      <c r="H3" s="5"/>
      <c r="I3" s="5"/>
      <c r="J3" s="5"/>
      <c r="K3" s="5"/>
      <c r="L3" s="5"/>
      <c r="M3" s="5"/>
      <c r="N3" s="5"/>
      <c r="O3" s="5"/>
      <c r="P3" s="5"/>
      <c r="Q3" s="5"/>
      <c r="R3" s="5"/>
      <c r="S3" s="5"/>
      <c r="T3" s="5"/>
      <c r="U3" s="5"/>
      <c r="V3" s="5"/>
      <c r="W3" s="5"/>
      <c r="X3" s="5"/>
      <c r="Y3" s="5"/>
      <c r="Z3" s="5"/>
    </row>
    <row r="4" customFormat="false" ht="12.75" hidden="false" customHeight="true" outlineLevel="0" collapsed="false">
      <c r="A4" s="6" t="s">
        <v>5</v>
      </c>
      <c r="B4" s="7" t="s">
        <v>6</v>
      </c>
      <c r="C4" s="5"/>
      <c r="D4" s="5"/>
      <c r="E4" s="5"/>
      <c r="F4" s="5"/>
      <c r="G4" s="5"/>
      <c r="H4" s="5"/>
      <c r="I4" s="5"/>
      <c r="J4" s="5"/>
      <c r="K4" s="5"/>
      <c r="L4" s="5"/>
      <c r="M4" s="5"/>
      <c r="N4" s="5"/>
      <c r="O4" s="5"/>
      <c r="P4" s="5"/>
      <c r="Q4" s="5"/>
      <c r="R4" s="5"/>
      <c r="S4" s="5"/>
      <c r="T4" s="5"/>
      <c r="U4" s="5"/>
      <c r="V4" s="5"/>
      <c r="W4" s="5"/>
      <c r="X4" s="5"/>
      <c r="Y4" s="5"/>
      <c r="Z4" s="5"/>
    </row>
    <row r="5" customFormat="false" ht="24" hidden="false" customHeight="true" outlineLevel="0" collapsed="false">
      <c r="A5" s="8" t="s">
        <v>7</v>
      </c>
      <c r="B5" s="8" t="s">
        <v>8</v>
      </c>
      <c r="C5" s="9" t="s">
        <v>9</v>
      </c>
      <c r="D5" s="9"/>
      <c r="E5" s="9"/>
      <c r="F5" s="9"/>
      <c r="G5" s="9"/>
      <c r="H5" s="9"/>
      <c r="I5" s="5"/>
      <c r="J5" s="5"/>
      <c r="K5" s="5"/>
      <c r="L5" s="5"/>
      <c r="M5" s="5"/>
      <c r="N5" s="5"/>
      <c r="O5" s="5"/>
      <c r="P5" s="5"/>
      <c r="Q5" s="5"/>
      <c r="R5" s="5"/>
      <c r="S5" s="5"/>
      <c r="T5" s="5"/>
      <c r="U5" s="5"/>
      <c r="V5" s="5"/>
      <c r="W5" s="5"/>
      <c r="X5" s="5"/>
      <c r="Y5" s="5"/>
      <c r="Z5" s="5"/>
    </row>
    <row r="6" customFormat="false" ht="12.75" hidden="false" customHeight="true" outlineLevel="0" collapsed="false">
      <c r="A6" s="6" t="s">
        <v>10</v>
      </c>
      <c r="B6" s="7" t="n">
        <v>2</v>
      </c>
      <c r="C6" s="5" t="s">
        <v>11</v>
      </c>
      <c r="D6" s="5"/>
      <c r="E6" s="5"/>
      <c r="F6" s="5"/>
      <c r="G6" s="5"/>
      <c r="H6" s="5"/>
      <c r="I6" s="5"/>
      <c r="J6" s="5"/>
      <c r="K6" s="5"/>
      <c r="L6" s="5"/>
      <c r="M6" s="5"/>
      <c r="N6" s="5"/>
      <c r="O6" s="5"/>
      <c r="P6" s="5"/>
      <c r="Q6" s="5"/>
      <c r="R6" s="5"/>
      <c r="S6" s="5"/>
      <c r="T6" s="5"/>
      <c r="U6" s="5"/>
      <c r="V6" s="5"/>
      <c r="W6" s="5"/>
      <c r="X6" s="5"/>
      <c r="Y6" s="5"/>
      <c r="Z6" s="5"/>
    </row>
    <row r="7" customFormat="false" ht="12.75" hidden="false" customHeight="true" outlineLevel="0" collapsed="false">
      <c r="A7" s="6" t="s">
        <v>12</v>
      </c>
      <c r="B7" s="7" t="s">
        <v>13</v>
      </c>
      <c r="C7" s="5"/>
      <c r="D7" s="5"/>
      <c r="E7" s="5"/>
      <c r="F7" s="5"/>
      <c r="G7" s="5"/>
      <c r="H7" s="5"/>
      <c r="I7" s="5"/>
      <c r="J7" s="5"/>
      <c r="K7" s="5"/>
      <c r="L7" s="5"/>
      <c r="M7" s="5"/>
      <c r="N7" s="5"/>
      <c r="O7" s="5"/>
      <c r="P7" s="5"/>
      <c r="Q7" s="5"/>
      <c r="R7" s="5"/>
      <c r="S7" s="5"/>
      <c r="T7" s="5"/>
      <c r="U7" s="5"/>
      <c r="V7" s="5"/>
      <c r="W7" s="5"/>
      <c r="X7" s="5"/>
      <c r="Y7" s="5"/>
      <c r="Z7" s="5"/>
    </row>
    <row r="8" customFormat="false" ht="12.75" hidden="false" customHeight="true" outlineLevel="0" collapsed="false">
      <c r="A8" s="6" t="s">
        <v>14</v>
      </c>
      <c r="B8" s="7" t="s">
        <v>15</v>
      </c>
      <c r="C8" s="5"/>
      <c r="D8" s="5"/>
      <c r="E8" s="5"/>
      <c r="F8" s="5"/>
      <c r="G8" s="5"/>
      <c r="H8" s="5"/>
      <c r="I8" s="5"/>
      <c r="J8" s="5"/>
      <c r="K8" s="5"/>
      <c r="L8" s="5"/>
      <c r="M8" s="5"/>
      <c r="N8" s="5"/>
      <c r="O8" s="5"/>
      <c r="P8" s="5"/>
      <c r="Q8" s="5"/>
      <c r="R8" s="5"/>
      <c r="S8" s="5"/>
      <c r="T8" s="5"/>
      <c r="U8" s="5"/>
      <c r="V8" s="5"/>
      <c r="W8" s="5"/>
      <c r="X8" s="5"/>
      <c r="Y8" s="5"/>
      <c r="Z8" s="5"/>
    </row>
    <row r="9" customFormat="false" ht="12.75" hidden="false" customHeight="true" outlineLevel="0" collapsed="false">
      <c r="A9" s="10"/>
      <c r="B9" s="7"/>
      <c r="C9" s="5"/>
      <c r="D9" s="5"/>
      <c r="E9" s="5"/>
      <c r="F9" s="5"/>
      <c r="G9" s="5"/>
      <c r="H9" s="5"/>
      <c r="I9" s="5"/>
      <c r="J9" s="5"/>
      <c r="K9" s="5"/>
      <c r="L9" s="5"/>
      <c r="M9" s="5"/>
      <c r="N9" s="5"/>
      <c r="O9" s="5"/>
      <c r="P9" s="5"/>
      <c r="Q9" s="5"/>
      <c r="R9" s="5"/>
      <c r="S9" s="5"/>
      <c r="T9" s="5"/>
      <c r="U9" s="5"/>
      <c r="V9" s="5"/>
      <c r="W9" s="5"/>
      <c r="X9" s="5"/>
      <c r="Y9" s="5"/>
      <c r="Z9" s="5"/>
    </row>
    <row r="10" customFormat="false" ht="12.75" hidden="false" customHeight="true" outlineLevel="0" collapsed="false">
      <c r="A10" s="10" t="s">
        <v>16</v>
      </c>
      <c r="B10" s="7" t="s">
        <v>17</v>
      </c>
      <c r="C10" s="5"/>
      <c r="D10" s="5"/>
      <c r="E10" s="5"/>
      <c r="F10" s="5"/>
      <c r="G10" s="5"/>
      <c r="H10" s="5"/>
      <c r="I10" s="5"/>
      <c r="J10" s="5"/>
      <c r="K10" s="5"/>
      <c r="L10" s="5"/>
      <c r="M10" s="5"/>
      <c r="N10" s="5"/>
      <c r="O10" s="5"/>
      <c r="P10" s="5"/>
      <c r="Q10" s="5"/>
      <c r="R10" s="5"/>
      <c r="S10" s="5"/>
      <c r="T10" s="5"/>
      <c r="U10" s="5"/>
      <c r="V10" s="5"/>
      <c r="W10" s="5"/>
      <c r="X10" s="5"/>
      <c r="Y10" s="5"/>
      <c r="Z10" s="5"/>
    </row>
    <row r="11" customFormat="false" ht="12.75" hidden="false" customHeight="true" outlineLevel="0" collapsed="false">
      <c r="A11" s="10" t="s">
        <v>18</v>
      </c>
      <c r="B11" s="7" t="s">
        <v>19</v>
      </c>
      <c r="C11" s="5"/>
      <c r="D11" s="5"/>
      <c r="E11" s="5"/>
      <c r="F11" s="5"/>
      <c r="G11" s="5"/>
      <c r="H11" s="5"/>
      <c r="I11" s="5"/>
      <c r="J11" s="5"/>
      <c r="K11" s="5"/>
      <c r="L11" s="5"/>
      <c r="M11" s="5"/>
      <c r="N11" s="5"/>
      <c r="O11" s="5"/>
      <c r="P11" s="5"/>
      <c r="Q11" s="5"/>
      <c r="R11" s="5"/>
      <c r="S11" s="5"/>
      <c r="T11" s="5"/>
      <c r="U11" s="5"/>
      <c r="V11" s="5"/>
      <c r="W11" s="5"/>
      <c r="X11" s="5"/>
      <c r="Y11" s="5"/>
      <c r="Z11" s="5"/>
    </row>
    <row r="12" customFormat="false" ht="12.75" hidden="false" customHeight="true" outlineLevel="0" collapsed="false">
      <c r="A12" s="5"/>
      <c r="B12" s="5"/>
      <c r="C12" s="5"/>
      <c r="D12" s="5"/>
      <c r="E12" s="5"/>
      <c r="F12" s="5"/>
      <c r="G12" s="5"/>
      <c r="H12" s="5"/>
      <c r="I12" s="5"/>
      <c r="J12" s="5"/>
      <c r="K12" s="5"/>
      <c r="L12" s="5"/>
      <c r="M12" s="5"/>
      <c r="N12" s="5"/>
      <c r="O12" s="5"/>
      <c r="P12" s="5"/>
      <c r="Q12" s="5"/>
      <c r="R12" s="5"/>
      <c r="S12" s="5"/>
      <c r="T12" s="5"/>
      <c r="U12" s="5"/>
      <c r="V12" s="5"/>
      <c r="W12" s="5"/>
      <c r="X12" s="5"/>
      <c r="Y12" s="5"/>
      <c r="Z12" s="5"/>
    </row>
    <row r="13" customFormat="false" ht="12.75" hidden="false" customHeight="true" outlineLevel="0" collapsed="false">
      <c r="A13" s="7" t="s">
        <v>20</v>
      </c>
      <c r="B13" s="7" t="s">
        <v>21</v>
      </c>
      <c r="C13" s="5"/>
      <c r="D13" s="5"/>
      <c r="E13" s="5"/>
      <c r="F13" s="5"/>
      <c r="G13" s="5"/>
      <c r="H13" s="5"/>
      <c r="I13" s="5"/>
      <c r="J13" s="5"/>
      <c r="K13" s="5"/>
      <c r="L13" s="5"/>
      <c r="M13" s="5"/>
      <c r="N13" s="5"/>
      <c r="O13" s="5"/>
      <c r="P13" s="5"/>
      <c r="Q13" s="5"/>
      <c r="R13" s="5"/>
      <c r="S13" s="5"/>
      <c r="T13" s="5"/>
      <c r="U13" s="5"/>
      <c r="V13" s="5"/>
      <c r="W13" s="5"/>
      <c r="X13" s="5"/>
      <c r="Y13" s="5"/>
      <c r="Z13" s="5"/>
    </row>
    <row r="14" customFormat="false" ht="12.75" hidden="false" customHeight="true" outlineLevel="0" collapsed="false">
      <c r="A14" s="7" t="s">
        <v>22</v>
      </c>
      <c r="B14" s="7" t="s">
        <v>23</v>
      </c>
      <c r="C14" s="5"/>
      <c r="D14" s="5"/>
      <c r="E14" s="5"/>
      <c r="F14" s="5"/>
      <c r="G14" s="5"/>
      <c r="H14" s="5"/>
      <c r="I14" s="5"/>
      <c r="J14" s="5"/>
      <c r="K14" s="5"/>
      <c r="L14" s="5"/>
      <c r="M14" s="5"/>
      <c r="N14" s="5"/>
      <c r="O14" s="5"/>
      <c r="P14" s="5"/>
      <c r="Q14" s="5"/>
      <c r="R14" s="5"/>
      <c r="S14" s="5"/>
      <c r="T14" s="5"/>
      <c r="U14" s="5"/>
      <c r="V14" s="5"/>
      <c r="W14" s="5"/>
      <c r="X14" s="5"/>
      <c r="Y14" s="5"/>
      <c r="Z14" s="5"/>
    </row>
    <row r="15" customFormat="false" ht="12.75" hidden="false" customHeight="true" outlineLevel="0" collapsed="false">
      <c r="A15" s="5" t="s">
        <v>24</v>
      </c>
      <c r="B15" s="5" t="s">
        <v>25</v>
      </c>
      <c r="C15" s="5"/>
      <c r="D15" s="5"/>
      <c r="E15" s="5"/>
      <c r="F15" s="5"/>
      <c r="G15" s="5"/>
      <c r="H15" s="5"/>
      <c r="I15" s="5"/>
      <c r="J15" s="5"/>
      <c r="K15" s="5"/>
      <c r="L15" s="5"/>
      <c r="M15" s="5"/>
      <c r="N15" s="5"/>
      <c r="O15" s="5"/>
      <c r="P15" s="5"/>
      <c r="Q15" s="5"/>
      <c r="R15" s="5"/>
      <c r="S15" s="5"/>
      <c r="T15" s="5"/>
      <c r="U15" s="5"/>
      <c r="V15" s="5"/>
      <c r="W15" s="5"/>
      <c r="X15" s="5"/>
      <c r="Y15" s="5"/>
      <c r="Z15" s="5"/>
    </row>
    <row r="16" customFormat="false" ht="12.75" hidden="false" customHeight="true" outlineLevel="0" collapsed="false">
      <c r="A16" s="5" t="s">
        <v>26</v>
      </c>
      <c r="B16" s="5" t="s">
        <v>27</v>
      </c>
      <c r="C16" s="5"/>
      <c r="D16" s="5"/>
      <c r="E16" s="5"/>
      <c r="F16" s="5"/>
      <c r="G16" s="5"/>
      <c r="H16" s="5"/>
      <c r="I16" s="5"/>
      <c r="J16" s="5"/>
      <c r="K16" s="5"/>
      <c r="L16" s="5"/>
      <c r="M16" s="5"/>
      <c r="N16" s="5"/>
      <c r="O16" s="5"/>
      <c r="P16" s="5"/>
      <c r="Q16" s="5"/>
      <c r="R16" s="5"/>
      <c r="S16" s="5"/>
      <c r="T16" s="5"/>
      <c r="U16" s="5"/>
      <c r="V16" s="5"/>
      <c r="W16" s="5"/>
      <c r="X16" s="5"/>
      <c r="Y16" s="5"/>
      <c r="Z16" s="5"/>
    </row>
    <row r="17" customFormat="false" ht="12.75" hidden="false" customHeight="true" outlineLevel="0" collapsed="false">
      <c r="A17" s="7" t="s">
        <v>28</v>
      </c>
      <c r="B17" s="7" t="str">
        <f aca="false">IF(Audit_Flags!B23=0,"None","See Audit_Flags list above; PCC includes the rationale for any active REVIEW flags.")</f>
        <v>See Audit_Flags list above; PCC includes the rationale for any active REVIEW flags.</v>
      </c>
      <c r="C17" s="5"/>
      <c r="D17" s="5"/>
      <c r="E17" s="5"/>
      <c r="F17" s="5"/>
      <c r="G17" s="5"/>
      <c r="H17" s="5"/>
      <c r="I17" s="5"/>
      <c r="J17" s="5"/>
      <c r="K17" s="5"/>
      <c r="L17" s="5"/>
      <c r="M17" s="5"/>
      <c r="N17" s="5"/>
      <c r="O17" s="5"/>
      <c r="P17" s="5"/>
      <c r="Q17" s="5"/>
      <c r="R17" s="5"/>
      <c r="S17" s="5"/>
      <c r="T17" s="5"/>
      <c r="U17" s="5"/>
      <c r="V17" s="5"/>
      <c r="W17" s="5"/>
      <c r="X17" s="5"/>
      <c r="Y17" s="5"/>
      <c r="Z17" s="5"/>
    </row>
    <row r="18" customFormat="false" ht="12.75" hidden="false" customHeight="true" outlineLevel="0" collapsed="false">
      <c r="A18" s="5"/>
      <c r="B18" s="5"/>
      <c r="C18" s="5"/>
      <c r="D18" s="5"/>
      <c r="E18" s="5"/>
      <c r="F18" s="5"/>
      <c r="G18" s="5"/>
      <c r="H18" s="5"/>
      <c r="I18" s="5"/>
      <c r="J18" s="5"/>
      <c r="K18" s="5"/>
      <c r="L18" s="5"/>
      <c r="M18" s="5"/>
      <c r="N18" s="5"/>
      <c r="O18" s="5"/>
      <c r="P18" s="5"/>
      <c r="Q18" s="5"/>
      <c r="R18" s="5"/>
      <c r="S18" s="5"/>
      <c r="T18" s="5"/>
      <c r="U18" s="5"/>
      <c r="V18" s="5"/>
      <c r="W18" s="5"/>
      <c r="X18" s="5"/>
      <c r="Y18" s="5"/>
      <c r="Z18" s="5"/>
    </row>
    <row r="19" customFormat="false" ht="12.75" hidden="false" customHeight="true" outlineLevel="0" collapsed="false">
      <c r="A19" s="7" t="s">
        <v>29</v>
      </c>
      <c r="B19" s="7" t="str">
        <f aca="false">Sensitivity_Analysis!B3</f>
        <v>PERFORMED</v>
      </c>
      <c r="C19" s="5"/>
      <c r="D19" s="5"/>
      <c r="E19" s="5"/>
      <c r="F19" s="5"/>
      <c r="G19" s="5"/>
      <c r="H19" s="5"/>
      <c r="I19" s="5"/>
      <c r="J19" s="5"/>
      <c r="K19" s="5"/>
      <c r="L19" s="5"/>
      <c r="M19" s="5"/>
      <c r="N19" s="5"/>
      <c r="O19" s="5"/>
      <c r="P19" s="5"/>
      <c r="Q19" s="5"/>
      <c r="R19" s="5"/>
      <c r="S19" s="5"/>
      <c r="T19" s="5"/>
      <c r="U19" s="5"/>
      <c r="V19" s="5"/>
      <c r="W19" s="5"/>
      <c r="X19" s="5"/>
      <c r="Y19" s="5"/>
      <c r="Z19" s="5"/>
    </row>
    <row r="20" customFormat="false" ht="12.75" hidden="false" customHeight="true" outlineLevel="0" collapsed="false">
      <c r="A20" s="7" t="s">
        <v>30</v>
      </c>
      <c r="B20" s="7" t="n">
        <f aca="false">Sensitivity_Analysis!B16</f>
        <v>0</v>
      </c>
      <c r="C20" s="5"/>
      <c r="D20" s="5"/>
      <c r="E20" s="5"/>
      <c r="F20" s="5"/>
      <c r="G20" s="5"/>
      <c r="H20" s="5"/>
      <c r="I20" s="5"/>
      <c r="J20" s="5"/>
      <c r="K20" s="5"/>
      <c r="L20" s="5"/>
      <c r="M20" s="5"/>
      <c r="N20" s="5"/>
      <c r="O20" s="5"/>
      <c r="P20" s="5"/>
      <c r="Q20" s="5"/>
      <c r="R20" s="5"/>
      <c r="S20" s="5"/>
      <c r="T20" s="5"/>
      <c r="U20" s="5"/>
      <c r="V20" s="5"/>
      <c r="W20" s="5"/>
      <c r="X20" s="5"/>
      <c r="Y20" s="5"/>
      <c r="Z20" s="5"/>
    </row>
    <row r="21" customFormat="false" ht="12.75" hidden="false" customHeight="true" outlineLevel="0" collapsed="false">
      <c r="A21" s="5"/>
      <c r="B21" s="5"/>
      <c r="C21" s="5"/>
      <c r="D21" s="5"/>
      <c r="E21" s="5"/>
      <c r="F21" s="5"/>
      <c r="G21" s="5"/>
      <c r="H21" s="5"/>
      <c r="I21" s="5"/>
      <c r="J21" s="5"/>
      <c r="K21" s="5"/>
      <c r="L21" s="5"/>
      <c r="M21" s="5"/>
      <c r="N21" s="5"/>
      <c r="O21" s="5"/>
      <c r="P21" s="5"/>
      <c r="Q21" s="5"/>
      <c r="R21" s="5"/>
      <c r="S21" s="5"/>
      <c r="T21" s="5"/>
      <c r="U21" s="5"/>
      <c r="V21" s="5"/>
      <c r="W21" s="5"/>
      <c r="X21" s="5"/>
      <c r="Y21" s="5"/>
      <c r="Z21" s="5"/>
    </row>
    <row r="22" customFormat="false" ht="12.75" hidden="false" customHeight="true" outlineLevel="0" collapsed="false">
      <c r="A22" s="10" t="s">
        <v>31</v>
      </c>
      <c r="B22" s="11" t="s">
        <v>32</v>
      </c>
      <c r="C22" s="11"/>
      <c r="D22" s="11"/>
      <c r="E22" s="5"/>
      <c r="F22" s="5"/>
      <c r="G22" s="5"/>
      <c r="H22" s="5"/>
      <c r="I22" s="5"/>
      <c r="J22" s="5"/>
      <c r="K22" s="5"/>
      <c r="L22" s="5"/>
      <c r="M22" s="5"/>
      <c r="N22" s="5"/>
      <c r="O22" s="5"/>
      <c r="P22" s="5"/>
      <c r="Q22" s="5"/>
      <c r="R22" s="5"/>
      <c r="S22" s="5"/>
      <c r="T22" s="5"/>
      <c r="U22" s="5"/>
      <c r="V22" s="5"/>
      <c r="W22" s="5"/>
      <c r="X22" s="5"/>
      <c r="Y22" s="5"/>
      <c r="Z22" s="5"/>
    </row>
    <row r="23" customFormat="false" ht="12.75" hidden="false" customHeight="true" outlineLevel="0" collapsed="false">
      <c r="A23" s="7" t="s">
        <v>33</v>
      </c>
      <c r="B23" s="7" t="s">
        <v>34</v>
      </c>
      <c r="C23" s="5"/>
      <c r="D23" s="5"/>
      <c r="E23" s="5"/>
      <c r="F23" s="5"/>
      <c r="G23" s="5"/>
      <c r="H23" s="5"/>
      <c r="I23" s="5"/>
      <c r="J23" s="5"/>
      <c r="K23" s="5"/>
      <c r="L23" s="5"/>
      <c r="M23" s="5"/>
      <c r="N23" s="5"/>
      <c r="O23" s="5"/>
      <c r="P23" s="5"/>
      <c r="Q23" s="5"/>
      <c r="R23" s="5"/>
      <c r="S23" s="5"/>
      <c r="T23" s="5"/>
      <c r="U23" s="5"/>
      <c r="V23" s="5"/>
      <c r="W23" s="5"/>
      <c r="X23" s="5"/>
      <c r="Y23" s="5"/>
      <c r="Z23" s="5"/>
    </row>
    <row r="24" customFormat="false" ht="12.75" hidden="false" customHeight="true" outlineLevel="0" collapsed="false">
      <c r="A24" s="12" t="s">
        <v>35</v>
      </c>
      <c r="B24" s="7" t="s">
        <v>36</v>
      </c>
      <c r="C24" s="5"/>
      <c r="D24" s="5"/>
      <c r="E24" s="5"/>
      <c r="F24" s="5"/>
      <c r="G24" s="5"/>
      <c r="H24" s="5"/>
      <c r="I24" s="5"/>
      <c r="J24" s="5"/>
      <c r="K24" s="5"/>
      <c r="L24" s="5"/>
      <c r="M24" s="5"/>
      <c r="N24" s="5"/>
      <c r="O24" s="5"/>
      <c r="P24" s="5"/>
      <c r="Q24" s="5"/>
      <c r="R24" s="5"/>
      <c r="S24" s="5"/>
      <c r="T24" s="5"/>
      <c r="U24" s="5"/>
      <c r="V24" s="5"/>
      <c r="W24" s="5"/>
      <c r="X24" s="5"/>
      <c r="Y24" s="5"/>
      <c r="Z24" s="5"/>
    </row>
    <row r="25" customFormat="false" ht="26.25" hidden="false" customHeight="true" outlineLevel="0" collapsed="false">
      <c r="A25" s="12" t="n">
        <v>46161</v>
      </c>
      <c r="B25" s="7" t="s">
        <v>37</v>
      </c>
      <c r="C25" s="5"/>
      <c r="D25" s="5"/>
      <c r="E25" s="5"/>
      <c r="F25" s="5"/>
      <c r="G25" s="5"/>
      <c r="H25" s="5"/>
      <c r="I25" s="5"/>
      <c r="J25" s="5"/>
      <c r="K25" s="5"/>
      <c r="L25" s="5"/>
      <c r="M25" s="5"/>
      <c r="N25" s="5"/>
      <c r="O25" s="5"/>
      <c r="P25" s="5"/>
      <c r="Q25" s="5"/>
      <c r="R25" s="5"/>
      <c r="S25" s="5"/>
      <c r="T25" s="5"/>
      <c r="U25" s="5"/>
      <c r="V25" s="5"/>
      <c r="W25" s="5"/>
      <c r="X25" s="5"/>
      <c r="Y25" s="5"/>
      <c r="Z25" s="5"/>
    </row>
    <row r="26" customFormat="false" ht="36" hidden="false" customHeight="true" outlineLevel="0" collapsed="false">
      <c r="A26" s="5" t="s">
        <v>38</v>
      </c>
      <c r="B26" s="5" t="s">
        <v>39</v>
      </c>
      <c r="C26" s="5" t="s">
        <v>40</v>
      </c>
      <c r="D26" s="5" t="s">
        <v>41</v>
      </c>
      <c r="E26" s="5"/>
      <c r="F26" s="5"/>
      <c r="G26" s="5"/>
      <c r="H26" s="5"/>
      <c r="I26" s="5"/>
      <c r="J26" s="5"/>
      <c r="K26" s="5"/>
      <c r="L26" s="5"/>
      <c r="M26" s="5"/>
      <c r="N26" s="5"/>
      <c r="O26" s="5"/>
      <c r="P26" s="5"/>
      <c r="Q26" s="5"/>
      <c r="R26" s="5"/>
      <c r="S26" s="5"/>
      <c r="T26" s="5"/>
      <c r="U26" s="5"/>
      <c r="V26" s="5"/>
      <c r="W26" s="5"/>
      <c r="X26" s="5"/>
      <c r="Y26" s="5"/>
      <c r="Z26" s="5"/>
    </row>
    <row r="27" customFormat="false" ht="12.75" hidden="false" customHeight="true" outlineLevel="0" collapsed="false">
      <c r="A27" s="5"/>
      <c r="B27" s="5"/>
      <c r="C27" s="5"/>
      <c r="D27" s="5"/>
      <c r="E27" s="5"/>
      <c r="F27" s="5"/>
      <c r="G27" s="5"/>
      <c r="H27" s="5"/>
      <c r="I27" s="5"/>
      <c r="J27" s="5"/>
      <c r="K27" s="5"/>
      <c r="L27" s="5"/>
      <c r="M27" s="5"/>
      <c r="N27" s="5"/>
      <c r="O27" s="5"/>
      <c r="P27" s="5"/>
      <c r="Q27" s="5"/>
      <c r="R27" s="5"/>
      <c r="S27" s="5"/>
      <c r="T27" s="5"/>
      <c r="U27" s="5"/>
      <c r="V27" s="5"/>
      <c r="W27" s="5"/>
      <c r="X27" s="5"/>
      <c r="Y27" s="5"/>
      <c r="Z27" s="5"/>
    </row>
    <row r="28" customFormat="false" ht="84" hidden="false" customHeight="true" outlineLevel="0" collapsed="false">
      <c r="A28" s="5" t="s">
        <v>42</v>
      </c>
      <c r="B28" s="5" t="s">
        <v>43</v>
      </c>
      <c r="C28" s="5" t="s">
        <v>44</v>
      </c>
      <c r="D28" s="5" t="s">
        <v>45</v>
      </c>
      <c r="E28" s="5"/>
      <c r="F28" s="5"/>
      <c r="G28" s="5"/>
      <c r="H28" s="5"/>
      <c r="I28" s="5"/>
      <c r="J28" s="5"/>
      <c r="K28" s="5"/>
      <c r="L28" s="5"/>
      <c r="M28" s="5"/>
      <c r="N28" s="5"/>
      <c r="O28" s="5"/>
      <c r="P28" s="5"/>
      <c r="Q28" s="5"/>
      <c r="R28" s="5"/>
      <c r="S28" s="5"/>
      <c r="T28" s="5"/>
      <c r="U28" s="5"/>
      <c r="V28" s="5"/>
      <c r="W28" s="5"/>
      <c r="X28" s="5"/>
      <c r="Y28" s="5"/>
      <c r="Z28" s="5"/>
    </row>
    <row r="29" customFormat="false" ht="84" hidden="false" customHeight="true" outlineLevel="0" collapsed="false">
      <c r="A29" s="5" t="s">
        <v>42</v>
      </c>
      <c r="B29" s="5" t="s">
        <v>43</v>
      </c>
      <c r="C29" s="5" t="s">
        <v>46</v>
      </c>
      <c r="D29" s="5" t="s">
        <v>47</v>
      </c>
      <c r="E29" s="5"/>
      <c r="F29" s="5"/>
      <c r="G29" s="5"/>
      <c r="H29" s="5"/>
      <c r="I29" s="5"/>
      <c r="J29" s="5"/>
      <c r="K29" s="5"/>
      <c r="L29" s="5"/>
      <c r="M29" s="5"/>
      <c r="N29" s="5"/>
      <c r="O29" s="5"/>
      <c r="P29" s="5"/>
      <c r="Q29" s="5"/>
      <c r="R29" s="5"/>
      <c r="S29" s="5"/>
      <c r="T29" s="5"/>
      <c r="U29" s="5"/>
      <c r="V29" s="5"/>
      <c r="W29" s="5"/>
      <c r="X29" s="5"/>
      <c r="Y29" s="5"/>
      <c r="Z29" s="5"/>
    </row>
    <row r="30" customFormat="false" ht="12.75" hidden="false" customHeight="true" outlineLevel="0" collapsed="false">
      <c r="A30" s="5" t="s">
        <v>48</v>
      </c>
      <c r="B30" s="5" t="s">
        <v>49</v>
      </c>
      <c r="C30" s="5"/>
      <c r="D30" s="5"/>
      <c r="E30" s="5"/>
      <c r="F30" s="5"/>
      <c r="G30" s="5"/>
      <c r="H30" s="5"/>
      <c r="I30" s="5"/>
      <c r="J30" s="5"/>
      <c r="K30" s="5"/>
      <c r="L30" s="5"/>
      <c r="M30" s="5"/>
      <c r="N30" s="5"/>
      <c r="O30" s="5"/>
      <c r="P30" s="5"/>
      <c r="Q30" s="5"/>
      <c r="R30" s="5"/>
      <c r="S30" s="5"/>
      <c r="T30" s="5"/>
      <c r="U30" s="5"/>
      <c r="V30" s="5"/>
      <c r="W30" s="5"/>
      <c r="X30" s="5"/>
      <c r="Y30" s="5"/>
      <c r="Z30" s="5"/>
    </row>
    <row r="31" customFormat="false" ht="24" hidden="false" customHeight="true" outlineLevel="0" collapsed="false">
      <c r="A31" s="5" t="s">
        <v>50</v>
      </c>
      <c r="B31" s="5" t="s">
        <v>51</v>
      </c>
      <c r="C31" s="5"/>
      <c r="D31" s="5"/>
      <c r="E31" s="5"/>
      <c r="F31" s="5"/>
      <c r="G31" s="5"/>
      <c r="H31" s="5"/>
      <c r="I31" s="5"/>
      <c r="J31" s="5"/>
      <c r="K31" s="5"/>
      <c r="L31" s="5"/>
      <c r="M31" s="5"/>
      <c r="N31" s="5"/>
      <c r="O31" s="5"/>
      <c r="P31" s="5"/>
      <c r="Q31" s="5"/>
      <c r="R31" s="5"/>
      <c r="S31" s="5"/>
      <c r="T31" s="5"/>
      <c r="U31" s="5"/>
      <c r="V31" s="5"/>
      <c r="W31" s="5"/>
      <c r="X31" s="5"/>
      <c r="Y31" s="5"/>
      <c r="Z31" s="5"/>
    </row>
    <row r="32" customFormat="false" ht="12.75" hidden="false" customHeight="true" outlineLevel="0" collapsed="false">
      <c r="A32" s="5"/>
      <c r="B32" s="5"/>
      <c r="C32" s="5"/>
      <c r="D32" s="5"/>
      <c r="E32" s="5"/>
      <c r="F32" s="5"/>
      <c r="G32" s="5"/>
      <c r="H32" s="5"/>
      <c r="I32" s="5"/>
      <c r="J32" s="5"/>
      <c r="K32" s="5"/>
      <c r="L32" s="5"/>
      <c r="M32" s="5"/>
      <c r="N32" s="5"/>
      <c r="O32" s="5"/>
      <c r="P32" s="5"/>
      <c r="Q32" s="5"/>
      <c r="R32" s="5"/>
      <c r="S32" s="5"/>
      <c r="T32" s="5"/>
      <c r="U32" s="5"/>
      <c r="V32" s="5"/>
      <c r="W32" s="5"/>
      <c r="X32" s="5"/>
      <c r="Y32" s="5"/>
      <c r="Z32" s="5"/>
    </row>
    <row r="33" customFormat="false" ht="12.75" hidden="false" customHeight="true" outlineLevel="0" collapsed="false">
      <c r="A33" s="13" t="s">
        <v>52</v>
      </c>
      <c r="B33" s="13"/>
      <c r="C33" s="13"/>
      <c r="D33" s="13"/>
      <c r="E33" s="5"/>
      <c r="F33" s="5"/>
      <c r="G33" s="5"/>
      <c r="H33" s="5"/>
      <c r="I33" s="5"/>
      <c r="J33" s="5"/>
      <c r="K33" s="5"/>
      <c r="L33" s="5"/>
      <c r="M33" s="5"/>
      <c r="N33" s="5"/>
      <c r="O33" s="5"/>
      <c r="P33" s="5"/>
      <c r="Q33" s="5"/>
      <c r="R33" s="5"/>
      <c r="S33" s="5"/>
      <c r="T33" s="5"/>
      <c r="U33" s="5"/>
      <c r="V33" s="5"/>
      <c r="W33" s="5"/>
      <c r="X33" s="5"/>
      <c r="Y33" s="5"/>
      <c r="Z33" s="5"/>
    </row>
    <row r="34" customFormat="false" ht="12.75" hidden="false" customHeight="true" outlineLevel="0" collapsed="false">
      <c r="A34" s="5" t="s">
        <v>53</v>
      </c>
      <c r="B34" s="5" t="s">
        <v>54</v>
      </c>
      <c r="C34" s="5"/>
      <c r="D34" s="5"/>
      <c r="E34" s="5"/>
      <c r="F34" s="5"/>
      <c r="G34" s="5"/>
      <c r="H34" s="5"/>
      <c r="I34" s="5"/>
      <c r="J34" s="5"/>
      <c r="K34" s="5"/>
      <c r="L34" s="5"/>
      <c r="M34" s="5"/>
      <c r="N34" s="5"/>
      <c r="O34" s="5"/>
      <c r="P34" s="5"/>
      <c r="Q34" s="5"/>
      <c r="R34" s="5"/>
      <c r="S34" s="5"/>
      <c r="T34" s="5"/>
      <c r="U34" s="5"/>
      <c r="V34" s="5"/>
      <c r="W34" s="5"/>
      <c r="X34" s="5"/>
      <c r="Y34" s="5"/>
      <c r="Z34" s="5"/>
    </row>
    <row r="35" customFormat="false" ht="12.75" hidden="false" customHeight="true" outlineLevel="0" collapsed="false">
      <c r="A35" s="5" t="s">
        <v>46</v>
      </c>
      <c r="B35" s="5" t="s">
        <v>55</v>
      </c>
      <c r="C35" s="5"/>
      <c r="D35" s="5"/>
      <c r="E35" s="5"/>
      <c r="F35" s="5"/>
      <c r="G35" s="5"/>
      <c r="H35" s="5"/>
      <c r="I35" s="5"/>
      <c r="J35" s="5"/>
      <c r="K35" s="5"/>
      <c r="L35" s="5"/>
      <c r="M35" s="5"/>
      <c r="N35" s="5"/>
      <c r="O35" s="5"/>
      <c r="P35" s="5"/>
      <c r="Q35" s="5"/>
      <c r="R35" s="5"/>
      <c r="S35" s="5"/>
      <c r="T35" s="5"/>
      <c r="U35" s="5"/>
      <c r="V35" s="5"/>
      <c r="W35" s="5"/>
      <c r="X35" s="5"/>
      <c r="Y35" s="5"/>
      <c r="Z35" s="5"/>
    </row>
    <row r="36" customFormat="false" ht="12.75" hidden="false" customHeight="true" outlineLevel="0" collapsed="false">
      <c r="A36" s="5" t="s">
        <v>56</v>
      </c>
      <c r="B36" s="5" t="s">
        <v>57</v>
      </c>
      <c r="C36" s="5"/>
      <c r="D36" s="5"/>
      <c r="E36" s="5"/>
      <c r="F36" s="5"/>
      <c r="G36" s="5"/>
      <c r="H36" s="5"/>
      <c r="I36" s="5"/>
      <c r="J36" s="5"/>
      <c r="K36" s="5"/>
      <c r="L36" s="5"/>
      <c r="M36" s="5"/>
      <c r="N36" s="5"/>
      <c r="O36" s="5"/>
      <c r="P36" s="5"/>
      <c r="Q36" s="5"/>
      <c r="R36" s="5"/>
      <c r="S36" s="5"/>
      <c r="T36" s="5"/>
      <c r="U36" s="5"/>
      <c r="V36" s="5"/>
      <c r="W36" s="5"/>
      <c r="X36" s="5"/>
      <c r="Y36" s="5"/>
      <c r="Z36" s="5"/>
    </row>
    <row r="37" customFormat="false" ht="12.75" hidden="false" customHeight="true" outlineLevel="0" collapsed="false">
      <c r="A37" s="5" t="s">
        <v>58</v>
      </c>
      <c r="B37" s="5" t="s">
        <v>59</v>
      </c>
      <c r="C37" s="5"/>
      <c r="D37" s="5"/>
      <c r="E37" s="5"/>
      <c r="F37" s="5"/>
      <c r="G37" s="5"/>
      <c r="H37" s="5"/>
      <c r="I37" s="5"/>
      <c r="J37" s="5"/>
      <c r="K37" s="5"/>
      <c r="L37" s="5"/>
      <c r="M37" s="5"/>
      <c r="N37" s="5"/>
      <c r="O37" s="5"/>
      <c r="P37" s="5"/>
      <c r="Q37" s="5"/>
      <c r="R37" s="5"/>
      <c r="S37" s="5"/>
      <c r="T37" s="5"/>
      <c r="U37" s="5"/>
      <c r="V37" s="5"/>
      <c r="W37" s="5"/>
      <c r="X37" s="5"/>
      <c r="Y37" s="5"/>
      <c r="Z37" s="5"/>
    </row>
    <row r="38" customFormat="false" ht="12.75" hidden="false" customHeight="true" outlineLevel="0" collapsed="false">
      <c r="A38" s="5" t="s">
        <v>60</v>
      </c>
      <c r="B38" s="5" t="s">
        <v>61</v>
      </c>
      <c r="C38" s="5"/>
      <c r="D38" s="5"/>
      <c r="E38" s="5"/>
      <c r="F38" s="5"/>
      <c r="G38" s="5"/>
      <c r="H38" s="5"/>
      <c r="I38" s="5"/>
      <c r="J38" s="5"/>
      <c r="K38" s="5"/>
      <c r="L38" s="5"/>
      <c r="M38" s="5"/>
      <c r="N38" s="5"/>
      <c r="O38" s="5"/>
      <c r="P38" s="5"/>
      <c r="Q38" s="5"/>
      <c r="R38" s="5"/>
      <c r="S38" s="5"/>
      <c r="T38" s="5"/>
      <c r="U38" s="5"/>
      <c r="V38" s="5"/>
      <c r="W38" s="5"/>
      <c r="X38" s="5"/>
      <c r="Y38" s="5"/>
      <c r="Z38" s="5"/>
    </row>
    <row r="39" customFormat="false" ht="12.75" hidden="false" customHeight="true" outlineLevel="0" collapsed="false">
      <c r="A39" s="5" t="s">
        <v>62</v>
      </c>
      <c r="B39" s="5" t="s">
        <v>63</v>
      </c>
      <c r="C39" s="5"/>
      <c r="D39" s="5"/>
      <c r="E39" s="5"/>
      <c r="F39" s="5"/>
      <c r="G39" s="5"/>
      <c r="H39" s="5"/>
      <c r="I39" s="5"/>
      <c r="J39" s="5"/>
      <c r="K39" s="5"/>
      <c r="L39" s="5"/>
      <c r="M39" s="5"/>
      <c r="N39" s="5"/>
      <c r="O39" s="5"/>
      <c r="P39" s="5"/>
      <c r="Q39" s="5"/>
      <c r="R39" s="5"/>
      <c r="S39" s="5"/>
      <c r="T39" s="5"/>
      <c r="U39" s="5"/>
      <c r="V39" s="5"/>
      <c r="W39" s="5"/>
      <c r="X39" s="5"/>
      <c r="Y39" s="5"/>
      <c r="Z39" s="5"/>
    </row>
    <row r="40" customFormat="false" ht="12.75" hidden="false" customHeight="true" outlineLevel="0" collapsed="false">
      <c r="A40" s="5"/>
      <c r="B40" s="5"/>
      <c r="C40" s="5"/>
      <c r="D40" s="5"/>
      <c r="E40" s="5"/>
      <c r="F40" s="5"/>
      <c r="G40" s="5"/>
      <c r="H40" s="5"/>
      <c r="I40" s="5"/>
      <c r="J40" s="5"/>
      <c r="K40" s="5"/>
      <c r="L40" s="5"/>
      <c r="M40" s="5"/>
      <c r="N40" s="5"/>
      <c r="O40" s="5"/>
      <c r="P40" s="5"/>
      <c r="Q40" s="5"/>
      <c r="R40" s="5"/>
      <c r="S40" s="5"/>
      <c r="T40" s="5"/>
      <c r="U40" s="5"/>
      <c r="V40" s="5"/>
      <c r="W40" s="5"/>
      <c r="X40" s="5"/>
      <c r="Y40" s="5"/>
      <c r="Z40" s="5"/>
    </row>
    <row r="41" customFormat="false" ht="24" hidden="false" customHeight="true" outlineLevel="0" collapsed="false">
      <c r="A41" s="14" t="s">
        <v>64</v>
      </c>
      <c r="B41" s="14" t="s">
        <v>65</v>
      </c>
      <c r="C41" s="14" t="s">
        <v>66</v>
      </c>
      <c r="D41" s="14" t="s">
        <v>67</v>
      </c>
      <c r="E41" s="5"/>
      <c r="F41" s="5"/>
      <c r="G41" s="5"/>
      <c r="H41" s="5"/>
      <c r="I41" s="5"/>
      <c r="J41" s="5"/>
      <c r="K41" s="5"/>
      <c r="L41" s="5"/>
      <c r="M41" s="5"/>
      <c r="N41" s="5"/>
      <c r="O41" s="5"/>
      <c r="P41" s="5"/>
      <c r="Q41" s="5"/>
      <c r="R41" s="5"/>
      <c r="S41" s="5"/>
      <c r="T41" s="5"/>
      <c r="U41" s="5"/>
      <c r="V41" s="5"/>
      <c r="W41" s="5"/>
      <c r="X41" s="5"/>
      <c r="Y41" s="5"/>
      <c r="Z41" s="5"/>
    </row>
    <row r="42" customFormat="false" ht="36" hidden="false" customHeight="true" outlineLevel="0" collapsed="false">
      <c r="A42" s="5" t="s">
        <v>46</v>
      </c>
      <c r="B42" s="5" t="s">
        <v>68</v>
      </c>
      <c r="C42" s="5" t="s">
        <v>69</v>
      </c>
      <c r="D42" s="5" t="s">
        <v>70</v>
      </c>
      <c r="E42" s="5"/>
      <c r="F42" s="5"/>
      <c r="G42" s="5"/>
      <c r="H42" s="5"/>
      <c r="I42" s="5"/>
      <c r="J42" s="5"/>
      <c r="K42" s="5"/>
      <c r="L42" s="5"/>
      <c r="M42" s="5"/>
      <c r="N42" s="5"/>
      <c r="O42" s="5"/>
      <c r="P42" s="5"/>
      <c r="Q42" s="5"/>
      <c r="R42" s="5"/>
      <c r="S42" s="5"/>
      <c r="T42" s="5"/>
      <c r="U42" s="5"/>
      <c r="V42" s="5"/>
      <c r="W42" s="5"/>
      <c r="X42" s="5"/>
      <c r="Y42" s="5"/>
      <c r="Z42" s="5"/>
    </row>
    <row r="43" customFormat="false" ht="36" hidden="false" customHeight="true" outlineLevel="0" collapsed="false">
      <c r="A43" s="5" t="s">
        <v>71</v>
      </c>
      <c r="B43" s="5" t="s">
        <v>72</v>
      </c>
      <c r="C43" s="5" t="s">
        <v>73</v>
      </c>
      <c r="D43" s="5" t="s">
        <v>74</v>
      </c>
      <c r="E43" s="5"/>
      <c r="F43" s="5"/>
      <c r="G43" s="5"/>
      <c r="H43" s="5"/>
      <c r="I43" s="5"/>
      <c r="J43" s="5"/>
      <c r="K43" s="5"/>
      <c r="L43" s="5"/>
      <c r="M43" s="5"/>
      <c r="N43" s="5"/>
      <c r="O43" s="5"/>
      <c r="P43" s="5"/>
      <c r="Q43" s="5"/>
      <c r="R43" s="5"/>
      <c r="S43" s="5"/>
      <c r="T43" s="5"/>
      <c r="U43" s="5"/>
      <c r="V43" s="5"/>
      <c r="W43" s="5"/>
      <c r="X43" s="5"/>
      <c r="Y43" s="5"/>
      <c r="Z43" s="5"/>
    </row>
    <row r="44" customFormat="false" ht="12.75" hidden="false" customHeight="true" outlineLevel="0" collapsed="false">
      <c r="A44" s="5"/>
      <c r="B44" s="5"/>
      <c r="C44" s="5"/>
      <c r="D44" s="5"/>
      <c r="E44" s="5"/>
      <c r="F44" s="5"/>
      <c r="G44" s="5"/>
      <c r="H44" s="5"/>
      <c r="I44" s="5"/>
      <c r="J44" s="5"/>
      <c r="K44" s="5"/>
      <c r="L44" s="5"/>
      <c r="M44" s="5"/>
      <c r="N44" s="5"/>
      <c r="O44" s="5"/>
      <c r="P44" s="5"/>
      <c r="Q44" s="5"/>
      <c r="R44" s="5"/>
      <c r="S44" s="5"/>
      <c r="T44" s="5"/>
      <c r="U44" s="5"/>
      <c r="V44" s="5"/>
      <c r="W44" s="5"/>
      <c r="X44" s="5"/>
      <c r="Y44" s="5"/>
      <c r="Z44" s="5"/>
    </row>
    <row r="45" customFormat="false" ht="48" hidden="false" customHeight="true" outlineLevel="0" collapsed="false">
      <c r="A45" s="5" t="s">
        <v>75</v>
      </c>
      <c r="B45" s="5" t="s">
        <v>76</v>
      </c>
      <c r="C45" s="5" t="s">
        <v>77</v>
      </c>
      <c r="D45" s="5" t="s">
        <v>78</v>
      </c>
      <c r="E45" s="5"/>
      <c r="F45" s="5"/>
      <c r="G45" s="5"/>
      <c r="H45" s="5"/>
      <c r="I45" s="5"/>
      <c r="J45" s="5"/>
      <c r="K45" s="5"/>
      <c r="L45" s="5"/>
      <c r="M45" s="5"/>
      <c r="N45" s="5"/>
      <c r="O45" s="5"/>
      <c r="P45" s="5"/>
      <c r="Q45" s="5"/>
      <c r="R45" s="5"/>
      <c r="S45" s="5"/>
      <c r="T45" s="5"/>
      <c r="U45" s="5"/>
      <c r="V45" s="5"/>
      <c r="W45" s="5"/>
      <c r="X45" s="5"/>
      <c r="Y45" s="5"/>
      <c r="Z45" s="5"/>
    </row>
    <row r="46" customFormat="false" ht="24" hidden="false" customHeight="true" outlineLevel="0" collapsed="false">
      <c r="A46" s="5" t="s">
        <v>79</v>
      </c>
      <c r="B46" s="5"/>
      <c r="C46" s="5"/>
      <c r="D46" s="5"/>
      <c r="E46" s="5"/>
      <c r="F46" s="5"/>
      <c r="G46" s="5"/>
      <c r="H46" s="5"/>
      <c r="I46" s="5"/>
      <c r="J46" s="5"/>
      <c r="K46" s="5"/>
      <c r="L46" s="5"/>
      <c r="M46" s="5"/>
      <c r="N46" s="5"/>
      <c r="O46" s="5"/>
      <c r="P46" s="5"/>
      <c r="Q46" s="5"/>
      <c r="R46" s="5"/>
      <c r="S46" s="5"/>
      <c r="T46" s="5"/>
      <c r="U46" s="5"/>
      <c r="V46" s="5"/>
      <c r="W46" s="5"/>
      <c r="X46" s="5"/>
      <c r="Y46" s="5"/>
      <c r="Z46" s="5"/>
    </row>
    <row r="47" customFormat="false" ht="12.75" hidden="false" customHeight="true" outlineLevel="0" collapsed="false">
      <c r="A47" s="5" t="s">
        <v>80</v>
      </c>
      <c r="B47" s="5" t="s">
        <v>81</v>
      </c>
      <c r="C47" s="5"/>
      <c r="D47" s="5"/>
      <c r="E47" s="5"/>
      <c r="F47" s="5"/>
      <c r="G47" s="5"/>
      <c r="H47" s="5"/>
      <c r="I47" s="5"/>
      <c r="J47" s="5"/>
      <c r="K47" s="5"/>
      <c r="L47" s="5"/>
      <c r="M47" s="5"/>
      <c r="N47" s="5"/>
      <c r="O47" s="5"/>
      <c r="P47" s="5"/>
      <c r="Q47" s="5"/>
      <c r="R47" s="5"/>
      <c r="S47" s="5"/>
      <c r="T47" s="5"/>
      <c r="U47" s="5"/>
      <c r="V47" s="5"/>
      <c r="W47" s="5"/>
      <c r="X47" s="5"/>
      <c r="Y47" s="5"/>
      <c r="Z47" s="5"/>
    </row>
    <row r="48" customFormat="false" ht="12.75" hidden="false" customHeight="true" outlineLevel="0" collapsed="false">
      <c r="A48" s="5" t="s">
        <v>82</v>
      </c>
      <c r="B48" s="5" t="s">
        <v>83</v>
      </c>
      <c r="C48" s="5"/>
      <c r="D48" s="5"/>
      <c r="E48" s="5"/>
      <c r="F48" s="5"/>
      <c r="G48" s="5"/>
      <c r="H48" s="5"/>
      <c r="I48" s="5"/>
      <c r="J48" s="5"/>
      <c r="K48" s="5"/>
      <c r="L48" s="5"/>
      <c r="M48" s="5"/>
      <c r="N48" s="5"/>
      <c r="O48" s="5"/>
      <c r="P48" s="5"/>
      <c r="Q48" s="5"/>
      <c r="R48" s="5"/>
      <c r="S48" s="5"/>
      <c r="T48" s="5"/>
      <c r="U48" s="5"/>
      <c r="V48" s="5"/>
      <c r="W48" s="5"/>
      <c r="X48" s="5"/>
      <c r="Y48" s="5"/>
      <c r="Z48" s="5"/>
    </row>
    <row r="49" customFormat="false" ht="12.75" hidden="false" customHeight="true" outlineLevel="0" collapsed="false">
      <c r="A49" s="5" t="s">
        <v>84</v>
      </c>
      <c r="B49" s="5" t="s">
        <v>85</v>
      </c>
      <c r="C49" s="5"/>
      <c r="D49" s="5"/>
      <c r="E49" s="5"/>
      <c r="F49" s="5"/>
      <c r="G49" s="5"/>
      <c r="H49" s="5"/>
      <c r="I49" s="5"/>
      <c r="J49" s="5"/>
      <c r="K49" s="5"/>
      <c r="L49" s="5"/>
      <c r="M49" s="5"/>
      <c r="N49" s="5"/>
      <c r="O49" s="5"/>
      <c r="P49" s="5"/>
      <c r="Q49" s="5"/>
      <c r="R49" s="5"/>
      <c r="S49" s="5"/>
      <c r="T49" s="5"/>
      <c r="U49" s="5"/>
      <c r="V49" s="5"/>
      <c r="W49" s="5"/>
      <c r="X49" s="5"/>
      <c r="Y49" s="5"/>
      <c r="Z49" s="5"/>
    </row>
    <row r="50" customFormat="false" ht="12.75" hidden="false" customHeight="true" outlineLevel="0" collapsed="false">
      <c r="A50" s="5" t="s">
        <v>46</v>
      </c>
      <c r="B50" s="5" t="s">
        <v>86</v>
      </c>
      <c r="C50" s="5"/>
      <c r="D50" s="5"/>
      <c r="E50" s="5"/>
      <c r="F50" s="5"/>
      <c r="G50" s="5"/>
      <c r="H50" s="5"/>
      <c r="I50" s="5"/>
      <c r="J50" s="5"/>
      <c r="K50" s="5"/>
      <c r="L50" s="5"/>
      <c r="M50" s="5"/>
      <c r="N50" s="5"/>
      <c r="O50" s="5"/>
      <c r="P50" s="5"/>
      <c r="Q50" s="5"/>
      <c r="R50" s="5"/>
      <c r="S50" s="5"/>
      <c r="T50" s="5"/>
      <c r="U50" s="5"/>
      <c r="V50" s="5"/>
      <c r="W50" s="5"/>
      <c r="X50" s="5"/>
      <c r="Y50" s="5"/>
      <c r="Z50" s="5"/>
    </row>
    <row r="51" customFormat="false" ht="12.75" hidden="false" customHeight="true" outlineLevel="0" collapsed="false">
      <c r="A51" s="5"/>
      <c r="B51" s="5"/>
      <c r="C51" s="5"/>
      <c r="D51" s="5"/>
      <c r="E51" s="5"/>
      <c r="F51" s="5"/>
      <c r="G51" s="5"/>
      <c r="H51" s="5"/>
      <c r="I51" s="5"/>
      <c r="J51" s="5"/>
      <c r="K51" s="5"/>
      <c r="L51" s="5"/>
      <c r="M51" s="5"/>
      <c r="N51" s="5"/>
      <c r="O51" s="5"/>
      <c r="P51" s="5"/>
      <c r="Q51" s="5"/>
      <c r="R51" s="5"/>
      <c r="S51" s="5"/>
      <c r="T51" s="5"/>
      <c r="U51" s="5"/>
      <c r="V51" s="5"/>
      <c r="W51" s="5"/>
      <c r="X51" s="5"/>
      <c r="Y51" s="5"/>
      <c r="Z51" s="5"/>
    </row>
    <row r="52" customFormat="false" ht="12.75" hidden="false" customHeight="true" outlineLevel="0" collapsed="false">
      <c r="A52" s="5"/>
      <c r="B52" s="5"/>
      <c r="C52" s="5"/>
      <c r="D52" s="5"/>
      <c r="E52" s="5"/>
      <c r="F52" s="5"/>
      <c r="G52" s="5"/>
      <c r="H52" s="5"/>
      <c r="I52" s="5"/>
      <c r="J52" s="5"/>
      <c r="K52" s="5"/>
      <c r="L52" s="5"/>
      <c r="M52" s="5"/>
      <c r="N52" s="5"/>
      <c r="O52" s="5"/>
      <c r="P52" s="5"/>
      <c r="Q52" s="5"/>
      <c r="R52" s="5"/>
      <c r="S52" s="5"/>
      <c r="T52" s="5"/>
      <c r="U52" s="5"/>
      <c r="V52" s="5"/>
      <c r="W52" s="5"/>
      <c r="X52" s="5"/>
      <c r="Y52" s="5"/>
      <c r="Z52" s="5"/>
    </row>
    <row r="53" customFormat="false" ht="12.75" hidden="false" customHeight="true" outlineLevel="0" collapsed="false">
      <c r="A53" s="5"/>
      <c r="B53" s="5"/>
      <c r="C53" s="5"/>
      <c r="D53" s="5"/>
      <c r="E53" s="5"/>
      <c r="F53" s="5"/>
      <c r="G53" s="5"/>
      <c r="H53" s="5"/>
      <c r="I53" s="5"/>
      <c r="J53" s="5"/>
      <c r="K53" s="5"/>
      <c r="L53" s="5"/>
      <c r="M53" s="5"/>
      <c r="N53" s="5"/>
      <c r="O53" s="5"/>
      <c r="P53" s="5"/>
      <c r="Q53" s="5"/>
      <c r="R53" s="5"/>
      <c r="S53" s="5"/>
      <c r="T53" s="5"/>
      <c r="U53" s="5"/>
      <c r="V53" s="5"/>
      <c r="W53" s="5"/>
      <c r="X53" s="5"/>
      <c r="Y53" s="5"/>
      <c r="Z53" s="5"/>
    </row>
    <row r="54" customFormat="false" ht="12.75" hidden="false" customHeight="true" outlineLevel="0" collapsed="false">
      <c r="A54" s="5"/>
      <c r="B54" s="5"/>
      <c r="C54" s="5"/>
      <c r="D54" s="5"/>
      <c r="E54" s="5"/>
      <c r="F54" s="5"/>
      <c r="G54" s="5"/>
      <c r="H54" s="5"/>
      <c r="I54" s="5"/>
      <c r="J54" s="5"/>
      <c r="K54" s="5"/>
      <c r="L54" s="5"/>
      <c r="M54" s="5"/>
      <c r="N54" s="5"/>
      <c r="O54" s="5"/>
      <c r="P54" s="5"/>
      <c r="Q54" s="5"/>
      <c r="R54" s="5"/>
      <c r="S54" s="5"/>
      <c r="T54" s="5"/>
      <c r="U54" s="5"/>
      <c r="V54" s="5"/>
      <c r="W54" s="5"/>
      <c r="X54" s="5"/>
      <c r="Y54" s="5"/>
      <c r="Z54" s="5"/>
    </row>
    <row r="55" customFormat="false" ht="12.75" hidden="false" customHeight="true" outlineLevel="0" collapsed="false">
      <c r="A55" s="5"/>
      <c r="B55" s="5"/>
      <c r="C55" s="5"/>
      <c r="D55" s="5"/>
      <c r="E55" s="5"/>
      <c r="F55" s="5"/>
      <c r="G55" s="5"/>
      <c r="H55" s="5"/>
      <c r="I55" s="5"/>
      <c r="J55" s="5"/>
      <c r="K55" s="5"/>
      <c r="L55" s="5"/>
      <c r="M55" s="5"/>
      <c r="N55" s="5"/>
      <c r="O55" s="5"/>
      <c r="P55" s="5"/>
      <c r="Q55" s="5"/>
      <c r="R55" s="5"/>
      <c r="S55" s="5"/>
      <c r="T55" s="5"/>
      <c r="U55" s="5"/>
      <c r="V55" s="5"/>
      <c r="W55" s="5"/>
      <c r="X55" s="5"/>
      <c r="Y55" s="5"/>
      <c r="Z55" s="5"/>
    </row>
    <row r="56" customFormat="false" ht="12.75" hidden="false" customHeight="true" outlineLevel="0" collapsed="false">
      <c r="A56" s="5"/>
      <c r="B56" s="5"/>
      <c r="C56" s="5"/>
      <c r="D56" s="5"/>
      <c r="E56" s="5"/>
      <c r="F56" s="5"/>
      <c r="G56" s="5"/>
      <c r="H56" s="5"/>
      <c r="I56" s="5"/>
      <c r="J56" s="5"/>
      <c r="K56" s="5"/>
      <c r="L56" s="5"/>
      <c r="M56" s="5"/>
      <c r="N56" s="5"/>
      <c r="O56" s="5"/>
      <c r="P56" s="5"/>
      <c r="Q56" s="5"/>
      <c r="R56" s="5"/>
      <c r="S56" s="5"/>
      <c r="T56" s="5"/>
      <c r="U56" s="5"/>
      <c r="V56" s="5"/>
      <c r="W56" s="5"/>
      <c r="X56" s="5"/>
      <c r="Y56" s="5"/>
      <c r="Z56" s="5"/>
    </row>
    <row r="57" customFormat="false" ht="12.75" hidden="false" customHeight="true" outlineLevel="0" collapsed="false">
      <c r="A57" s="5"/>
      <c r="B57" s="5"/>
      <c r="C57" s="5"/>
      <c r="D57" s="5"/>
      <c r="E57" s="5"/>
      <c r="F57" s="5"/>
      <c r="G57" s="5"/>
      <c r="H57" s="5"/>
      <c r="I57" s="5"/>
      <c r="J57" s="5"/>
      <c r="K57" s="5"/>
      <c r="L57" s="5"/>
      <c r="M57" s="5"/>
      <c r="N57" s="5"/>
      <c r="O57" s="5"/>
      <c r="P57" s="5"/>
      <c r="Q57" s="5"/>
      <c r="R57" s="5"/>
      <c r="S57" s="5"/>
      <c r="T57" s="5"/>
      <c r="U57" s="5"/>
      <c r="V57" s="5"/>
      <c r="W57" s="5"/>
      <c r="X57" s="5"/>
      <c r="Y57" s="5"/>
      <c r="Z57" s="5"/>
    </row>
    <row r="58" customFormat="false" ht="12.75" hidden="false" customHeight="true" outlineLevel="0" collapsed="false">
      <c r="A58" s="5"/>
      <c r="B58" s="5"/>
      <c r="C58" s="5"/>
      <c r="D58" s="5"/>
      <c r="E58" s="5"/>
      <c r="F58" s="5"/>
      <c r="G58" s="5"/>
      <c r="H58" s="5"/>
      <c r="I58" s="5"/>
      <c r="J58" s="5"/>
      <c r="K58" s="5"/>
      <c r="L58" s="5"/>
      <c r="M58" s="5"/>
      <c r="N58" s="5"/>
      <c r="O58" s="5"/>
      <c r="P58" s="5"/>
      <c r="Q58" s="5"/>
      <c r="R58" s="5"/>
      <c r="S58" s="5"/>
      <c r="T58" s="5"/>
      <c r="U58" s="5"/>
      <c r="V58" s="5"/>
      <c r="W58" s="5"/>
      <c r="X58" s="5"/>
      <c r="Y58" s="5"/>
      <c r="Z58" s="5"/>
    </row>
    <row r="59" customFormat="false" ht="12.75" hidden="false" customHeight="true" outlineLevel="0" collapsed="false">
      <c r="A59" s="5"/>
      <c r="B59" s="5"/>
      <c r="C59" s="5"/>
      <c r="D59" s="5"/>
      <c r="E59" s="5"/>
      <c r="F59" s="5"/>
      <c r="G59" s="5"/>
      <c r="H59" s="5"/>
      <c r="I59" s="5"/>
      <c r="J59" s="5"/>
      <c r="K59" s="5"/>
      <c r="L59" s="5"/>
      <c r="M59" s="5"/>
      <c r="N59" s="5"/>
      <c r="O59" s="5"/>
      <c r="P59" s="5"/>
      <c r="Q59" s="5"/>
      <c r="R59" s="5"/>
      <c r="S59" s="5"/>
      <c r="T59" s="5"/>
      <c r="U59" s="5"/>
      <c r="V59" s="5"/>
      <c r="W59" s="5"/>
      <c r="X59" s="5"/>
      <c r="Y59" s="5"/>
      <c r="Z59" s="5"/>
    </row>
    <row r="60" customFormat="false" ht="12.75" hidden="false" customHeight="true" outlineLevel="0" collapsed="false">
      <c r="A60" s="5"/>
      <c r="B60" s="5"/>
      <c r="C60" s="5"/>
      <c r="D60" s="5"/>
      <c r="E60" s="5"/>
      <c r="F60" s="5"/>
      <c r="G60" s="5"/>
      <c r="H60" s="5"/>
      <c r="I60" s="5"/>
      <c r="J60" s="5"/>
      <c r="K60" s="5"/>
      <c r="L60" s="5"/>
      <c r="M60" s="5"/>
      <c r="N60" s="5"/>
      <c r="O60" s="5"/>
      <c r="P60" s="5"/>
      <c r="Q60" s="5"/>
      <c r="R60" s="5"/>
      <c r="S60" s="5"/>
      <c r="T60" s="5"/>
      <c r="U60" s="5"/>
      <c r="V60" s="5"/>
      <c r="W60" s="5"/>
      <c r="X60" s="5"/>
      <c r="Y60" s="5"/>
      <c r="Z60" s="5"/>
    </row>
    <row r="61" customFormat="false" ht="12.75" hidden="false" customHeight="true" outlineLevel="0" collapsed="false">
      <c r="A61" s="5"/>
      <c r="B61" s="5"/>
      <c r="C61" s="5"/>
      <c r="D61" s="5"/>
      <c r="E61" s="5"/>
      <c r="F61" s="5"/>
      <c r="G61" s="5"/>
      <c r="H61" s="5"/>
      <c r="I61" s="5"/>
      <c r="J61" s="5"/>
      <c r="K61" s="5"/>
      <c r="L61" s="5"/>
      <c r="M61" s="5"/>
      <c r="N61" s="5"/>
      <c r="O61" s="5"/>
      <c r="P61" s="5"/>
      <c r="Q61" s="5"/>
      <c r="R61" s="5"/>
      <c r="S61" s="5"/>
      <c r="T61" s="5"/>
      <c r="U61" s="5"/>
      <c r="V61" s="5"/>
      <c r="W61" s="5"/>
      <c r="X61" s="5"/>
      <c r="Y61" s="5"/>
      <c r="Z61" s="5"/>
    </row>
    <row r="62" customFormat="false" ht="12.75" hidden="false" customHeight="true" outlineLevel="0" collapsed="false">
      <c r="A62" s="5"/>
      <c r="B62" s="5"/>
      <c r="C62" s="5"/>
      <c r="D62" s="5"/>
      <c r="E62" s="5"/>
      <c r="F62" s="5"/>
      <c r="G62" s="5"/>
      <c r="H62" s="5"/>
      <c r="I62" s="5"/>
      <c r="J62" s="5"/>
      <c r="K62" s="5"/>
      <c r="L62" s="5"/>
      <c r="M62" s="5"/>
      <c r="N62" s="5"/>
      <c r="O62" s="5"/>
      <c r="P62" s="5"/>
      <c r="Q62" s="5"/>
      <c r="R62" s="5"/>
      <c r="S62" s="5"/>
      <c r="T62" s="5"/>
      <c r="U62" s="5"/>
      <c r="V62" s="5"/>
      <c r="W62" s="5"/>
      <c r="X62" s="5"/>
      <c r="Y62" s="5"/>
      <c r="Z62" s="5"/>
    </row>
    <row r="63" customFormat="false" ht="12.75" hidden="false" customHeight="true" outlineLevel="0" collapsed="false">
      <c r="A63" s="5"/>
      <c r="B63" s="5"/>
      <c r="C63" s="5"/>
      <c r="D63" s="5"/>
      <c r="E63" s="5"/>
      <c r="F63" s="5"/>
      <c r="G63" s="5"/>
      <c r="H63" s="5"/>
      <c r="I63" s="5"/>
      <c r="J63" s="5"/>
      <c r="K63" s="5"/>
      <c r="L63" s="5"/>
      <c r="M63" s="5"/>
      <c r="N63" s="5"/>
      <c r="O63" s="5"/>
      <c r="P63" s="5"/>
      <c r="Q63" s="5"/>
      <c r="R63" s="5"/>
      <c r="S63" s="5"/>
      <c r="T63" s="5"/>
      <c r="U63" s="5"/>
      <c r="V63" s="5"/>
      <c r="W63" s="5"/>
      <c r="X63" s="5"/>
      <c r="Y63" s="5"/>
      <c r="Z63" s="5"/>
    </row>
    <row r="64" customFormat="false" ht="12.75" hidden="false" customHeight="true" outlineLevel="0" collapsed="false">
      <c r="A64" s="5"/>
      <c r="B64" s="5"/>
      <c r="C64" s="5"/>
      <c r="D64" s="5"/>
      <c r="E64" s="5"/>
      <c r="F64" s="5"/>
      <c r="G64" s="5"/>
      <c r="H64" s="5"/>
      <c r="I64" s="5"/>
      <c r="J64" s="5"/>
      <c r="K64" s="5"/>
      <c r="L64" s="5"/>
      <c r="M64" s="5"/>
      <c r="N64" s="5"/>
      <c r="O64" s="5"/>
      <c r="P64" s="5"/>
      <c r="Q64" s="5"/>
      <c r="R64" s="5"/>
      <c r="S64" s="5"/>
      <c r="T64" s="5"/>
      <c r="U64" s="5"/>
      <c r="V64" s="5"/>
      <c r="W64" s="5"/>
      <c r="X64" s="5"/>
      <c r="Y64" s="5"/>
      <c r="Z64" s="5"/>
    </row>
    <row r="65" customFormat="false" ht="12.75" hidden="false" customHeight="true" outlineLevel="0" collapsed="false">
      <c r="A65" s="5"/>
      <c r="B65" s="5"/>
      <c r="C65" s="5"/>
      <c r="D65" s="5"/>
      <c r="E65" s="5"/>
      <c r="F65" s="5"/>
      <c r="G65" s="5"/>
      <c r="H65" s="5"/>
      <c r="I65" s="5"/>
      <c r="J65" s="5"/>
      <c r="K65" s="5"/>
      <c r="L65" s="5"/>
      <c r="M65" s="5"/>
      <c r="N65" s="5"/>
      <c r="O65" s="5"/>
      <c r="P65" s="5"/>
      <c r="Q65" s="5"/>
      <c r="R65" s="5"/>
      <c r="S65" s="5"/>
      <c r="T65" s="5"/>
      <c r="U65" s="5"/>
      <c r="V65" s="5"/>
      <c r="W65" s="5"/>
      <c r="X65" s="5"/>
      <c r="Y65" s="5"/>
      <c r="Z65" s="5"/>
    </row>
    <row r="66" customFormat="false" ht="12.75" hidden="false" customHeight="true" outlineLevel="0" collapsed="false">
      <c r="A66" s="5"/>
      <c r="B66" s="5"/>
      <c r="C66" s="5"/>
      <c r="D66" s="5"/>
      <c r="E66" s="5"/>
      <c r="F66" s="5"/>
      <c r="G66" s="5"/>
      <c r="H66" s="5"/>
      <c r="I66" s="5"/>
      <c r="J66" s="5"/>
      <c r="K66" s="5"/>
      <c r="L66" s="5"/>
      <c r="M66" s="5"/>
      <c r="N66" s="5"/>
      <c r="O66" s="5"/>
      <c r="P66" s="5"/>
      <c r="Q66" s="5"/>
      <c r="R66" s="5"/>
      <c r="S66" s="5"/>
      <c r="T66" s="5"/>
      <c r="U66" s="5"/>
      <c r="V66" s="5"/>
      <c r="W66" s="5"/>
      <c r="X66" s="5"/>
      <c r="Y66" s="5"/>
      <c r="Z66" s="5"/>
    </row>
    <row r="67" customFormat="false" ht="12.75" hidden="false" customHeight="true" outlineLevel="0" collapsed="false">
      <c r="A67" s="5"/>
      <c r="B67" s="5"/>
      <c r="C67" s="5"/>
      <c r="D67" s="5"/>
      <c r="E67" s="5"/>
      <c r="F67" s="5"/>
      <c r="G67" s="5"/>
      <c r="H67" s="5"/>
      <c r="I67" s="5"/>
      <c r="J67" s="5"/>
      <c r="K67" s="5"/>
      <c r="L67" s="5"/>
      <c r="M67" s="5"/>
      <c r="N67" s="5"/>
      <c r="O67" s="5"/>
      <c r="P67" s="5"/>
      <c r="Q67" s="5"/>
      <c r="R67" s="5"/>
      <c r="S67" s="5"/>
      <c r="T67" s="5"/>
      <c r="U67" s="5"/>
      <c r="V67" s="5"/>
      <c r="W67" s="5"/>
      <c r="X67" s="5"/>
      <c r="Y67" s="5"/>
      <c r="Z67" s="5"/>
    </row>
    <row r="68" customFormat="false" ht="12.75" hidden="false" customHeight="true" outlineLevel="0" collapsed="false">
      <c r="A68" s="5"/>
      <c r="B68" s="5"/>
      <c r="C68" s="5"/>
      <c r="D68" s="5"/>
      <c r="E68" s="5"/>
      <c r="F68" s="5"/>
      <c r="G68" s="5"/>
      <c r="H68" s="5"/>
      <c r="I68" s="5"/>
      <c r="J68" s="5"/>
      <c r="K68" s="5"/>
      <c r="L68" s="5"/>
      <c r="M68" s="5"/>
      <c r="N68" s="5"/>
      <c r="O68" s="5"/>
      <c r="P68" s="5"/>
      <c r="Q68" s="5"/>
      <c r="R68" s="5"/>
      <c r="S68" s="5"/>
      <c r="T68" s="5"/>
      <c r="U68" s="5"/>
      <c r="V68" s="5"/>
      <c r="W68" s="5"/>
      <c r="X68" s="5"/>
      <c r="Y68" s="5"/>
      <c r="Z68" s="5"/>
    </row>
    <row r="69" customFormat="false" ht="12.75" hidden="false" customHeight="true" outlineLevel="0" collapsed="false">
      <c r="A69" s="5"/>
      <c r="B69" s="5"/>
      <c r="C69" s="5"/>
      <c r="D69" s="5"/>
      <c r="E69" s="5"/>
      <c r="F69" s="5"/>
      <c r="G69" s="5"/>
      <c r="H69" s="5"/>
      <c r="I69" s="5"/>
      <c r="J69" s="5"/>
      <c r="K69" s="5"/>
      <c r="L69" s="5"/>
      <c r="M69" s="5"/>
      <c r="N69" s="5"/>
      <c r="O69" s="5"/>
      <c r="P69" s="5"/>
      <c r="Q69" s="5"/>
      <c r="R69" s="5"/>
      <c r="S69" s="5"/>
      <c r="T69" s="5"/>
      <c r="U69" s="5"/>
      <c r="V69" s="5"/>
      <c r="W69" s="5"/>
      <c r="X69" s="5"/>
      <c r="Y69" s="5"/>
      <c r="Z69" s="5"/>
    </row>
    <row r="70" customFormat="false" ht="12.75" hidden="false" customHeight="true" outlineLevel="0" collapsed="false">
      <c r="A70" s="5"/>
      <c r="B70" s="5"/>
      <c r="C70" s="5"/>
      <c r="D70" s="5"/>
      <c r="E70" s="5"/>
      <c r="F70" s="5"/>
      <c r="G70" s="5"/>
      <c r="H70" s="5"/>
      <c r="I70" s="5"/>
      <c r="J70" s="5"/>
      <c r="K70" s="5"/>
      <c r="L70" s="5"/>
      <c r="M70" s="5"/>
      <c r="N70" s="5"/>
      <c r="O70" s="5"/>
      <c r="P70" s="5"/>
      <c r="Q70" s="5"/>
      <c r="R70" s="5"/>
      <c r="S70" s="5"/>
      <c r="T70" s="5"/>
      <c r="U70" s="5"/>
      <c r="V70" s="5"/>
      <c r="W70" s="5"/>
      <c r="X70" s="5"/>
      <c r="Y70" s="5"/>
      <c r="Z70" s="5"/>
    </row>
    <row r="71" customFormat="false" ht="12.75" hidden="false" customHeight="true" outlineLevel="0" collapsed="false">
      <c r="A71" s="5"/>
      <c r="B71" s="5"/>
      <c r="C71" s="5"/>
      <c r="D71" s="5"/>
      <c r="E71" s="5"/>
      <c r="F71" s="5"/>
      <c r="G71" s="5"/>
      <c r="H71" s="5"/>
      <c r="I71" s="5"/>
      <c r="J71" s="5"/>
      <c r="K71" s="5"/>
      <c r="L71" s="5"/>
      <c r="M71" s="5"/>
      <c r="N71" s="5"/>
      <c r="O71" s="5"/>
      <c r="P71" s="5"/>
      <c r="Q71" s="5"/>
      <c r="R71" s="5"/>
      <c r="S71" s="5"/>
      <c r="T71" s="5"/>
      <c r="U71" s="5"/>
      <c r="V71" s="5"/>
      <c r="W71" s="5"/>
      <c r="X71" s="5"/>
      <c r="Y71" s="5"/>
      <c r="Z71" s="5"/>
    </row>
    <row r="72" customFormat="false" ht="12.75" hidden="false" customHeight="true" outlineLevel="0" collapsed="false">
      <c r="A72" s="5"/>
      <c r="B72" s="5"/>
      <c r="C72" s="5"/>
      <c r="D72" s="5"/>
      <c r="E72" s="5"/>
      <c r="F72" s="5"/>
      <c r="G72" s="5"/>
      <c r="H72" s="5"/>
      <c r="I72" s="5"/>
      <c r="J72" s="5"/>
      <c r="K72" s="5"/>
      <c r="L72" s="5"/>
      <c r="M72" s="5"/>
      <c r="N72" s="5"/>
      <c r="O72" s="5"/>
      <c r="P72" s="5"/>
      <c r="Q72" s="5"/>
      <c r="R72" s="5"/>
      <c r="S72" s="5"/>
      <c r="T72" s="5"/>
      <c r="U72" s="5"/>
      <c r="V72" s="5"/>
      <c r="W72" s="5"/>
      <c r="X72" s="5"/>
      <c r="Y72" s="5"/>
      <c r="Z72" s="5"/>
    </row>
    <row r="73" customFormat="false" ht="12.75" hidden="false" customHeight="true" outlineLevel="0" collapsed="false">
      <c r="A73" s="5"/>
      <c r="B73" s="5"/>
      <c r="C73" s="5"/>
      <c r="D73" s="5"/>
      <c r="E73" s="5"/>
      <c r="F73" s="5"/>
      <c r="G73" s="5"/>
      <c r="H73" s="5"/>
      <c r="I73" s="5"/>
      <c r="J73" s="5"/>
      <c r="K73" s="5"/>
      <c r="L73" s="5"/>
      <c r="M73" s="5"/>
      <c r="N73" s="5"/>
      <c r="O73" s="5"/>
      <c r="P73" s="5"/>
      <c r="Q73" s="5"/>
      <c r="R73" s="5"/>
      <c r="S73" s="5"/>
      <c r="T73" s="5"/>
      <c r="U73" s="5"/>
      <c r="V73" s="5"/>
      <c r="W73" s="5"/>
      <c r="X73" s="5"/>
      <c r="Y73" s="5"/>
      <c r="Z73" s="5"/>
    </row>
    <row r="74" customFormat="false" ht="12.75" hidden="false" customHeight="true" outlineLevel="0" collapsed="false">
      <c r="A74" s="5"/>
      <c r="B74" s="5"/>
      <c r="C74" s="5"/>
      <c r="D74" s="5"/>
      <c r="E74" s="5"/>
      <c r="F74" s="5"/>
      <c r="G74" s="5"/>
      <c r="H74" s="5"/>
      <c r="I74" s="5"/>
      <c r="J74" s="5"/>
      <c r="K74" s="5"/>
      <c r="L74" s="5"/>
      <c r="M74" s="5"/>
      <c r="N74" s="5"/>
      <c r="O74" s="5"/>
      <c r="P74" s="5"/>
      <c r="Q74" s="5"/>
      <c r="R74" s="5"/>
      <c r="S74" s="5"/>
      <c r="T74" s="5"/>
      <c r="U74" s="5"/>
      <c r="V74" s="5"/>
      <c r="W74" s="5"/>
      <c r="X74" s="5"/>
      <c r="Y74" s="5"/>
      <c r="Z74" s="5"/>
    </row>
    <row r="75" customFormat="false" ht="12.75" hidden="false" customHeight="true" outlineLevel="0" collapsed="false">
      <c r="A75" s="5"/>
      <c r="B75" s="5"/>
      <c r="C75" s="5"/>
      <c r="D75" s="5"/>
      <c r="E75" s="5"/>
      <c r="F75" s="5"/>
      <c r="G75" s="5"/>
      <c r="H75" s="5"/>
      <c r="I75" s="5"/>
      <c r="J75" s="5"/>
      <c r="K75" s="5"/>
      <c r="L75" s="5"/>
      <c r="M75" s="5"/>
      <c r="N75" s="5"/>
      <c r="O75" s="5"/>
      <c r="P75" s="5"/>
      <c r="Q75" s="5"/>
      <c r="R75" s="5"/>
      <c r="S75" s="5"/>
      <c r="T75" s="5"/>
      <c r="U75" s="5"/>
      <c r="V75" s="5"/>
      <c r="W75" s="5"/>
      <c r="X75" s="5"/>
      <c r="Y75" s="5"/>
      <c r="Z75" s="5"/>
    </row>
    <row r="76" customFormat="false" ht="12.75" hidden="false" customHeight="true" outlineLevel="0" collapsed="false">
      <c r="A76" s="5"/>
      <c r="B76" s="5"/>
      <c r="C76" s="5"/>
      <c r="D76" s="5"/>
      <c r="E76" s="5"/>
      <c r="F76" s="5"/>
      <c r="G76" s="5"/>
      <c r="H76" s="5"/>
      <c r="I76" s="5"/>
      <c r="J76" s="5"/>
      <c r="K76" s="5"/>
      <c r="L76" s="5"/>
      <c r="M76" s="5"/>
      <c r="N76" s="5"/>
      <c r="O76" s="5"/>
      <c r="P76" s="5"/>
      <c r="Q76" s="5"/>
      <c r="R76" s="5"/>
      <c r="S76" s="5"/>
      <c r="T76" s="5"/>
      <c r="U76" s="5"/>
      <c r="V76" s="5"/>
      <c r="W76" s="5"/>
      <c r="X76" s="5"/>
      <c r="Y76" s="5"/>
      <c r="Z76" s="5"/>
    </row>
    <row r="77" customFormat="false" ht="12.75" hidden="false" customHeight="true" outlineLevel="0" collapsed="false">
      <c r="A77" s="5"/>
      <c r="B77" s="5"/>
      <c r="C77" s="5"/>
      <c r="D77" s="5"/>
      <c r="E77" s="5"/>
      <c r="F77" s="5"/>
      <c r="G77" s="5"/>
      <c r="H77" s="5"/>
      <c r="I77" s="5"/>
      <c r="J77" s="5"/>
      <c r="K77" s="5"/>
      <c r="L77" s="5"/>
      <c r="M77" s="5"/>
      <c r="N77" s="5"/>
      <c r="O77" s="5"/>
      <c r="P77" s="5"/>
      <c r="Q77" s="5"/>
      <c r="R77" s="5"/>
      <c r="S77" s="5"/>
      <c r="T77" s="5"/>
      <c r="U77" s="5"/>
      <c r="V77" s="5"/>
      <c r="W77" s="5"/>
      <c r="X77" s="5"/>
      <c r="Y77" s="5"/>
      <c r="Z77" s="5"/>
    </row>
    <row r="78" customFormat="false" ht="12.75" hidden="false" customHeight="true" outlineLevel="0" collapsed="false">
      <c r="A78" s="5"/>
      <c r="B78" s="5"/>
      <c r="C78" s="5"/>
      <c r="D78" s="5"/>
      <c r="E78" s="5"/>
      <c r="F78" s="5"/>
      <c r="G78" s="5"/>
      <c r="H78" s="5"/>
      <c r="I78" s="5"/>
      <c r="J78" s="5"/>
      <c r="K78" s="5"/>
      <c r="L78" s="5"/>
      <c r="M78" s="5"/>
      <c r="N78" s="5"/>
      <c r="O78" s="5"/>
      <c r="P78" s="5"/>
      <c r="Q78" s="5"/>
      <c r="R78" s="5"/>
      <c r="S78" s="5"/>
      <c r="T78" s="5"/>
      <c r="U78" s="5"/>
      <c r="V78" s="5"/>
      <c r="W78" s="5"/>
      <c r="X78" s="5"/>
      <c r="Y78" s="5"/>
      <c r="Z78" s="5"/>
    </row>
    <row r="79" customFormat="false" ht="12.75" hidden="false" customHeight="true" outlineLevel="0" collapsed="false">
      <c r="A79" s="5"/>
      <c r="B79" s="5"/>
      <c r="C79" s="5"/>
      <c r="D79" s="5"/>
      <c r="E79" s="5"/>
      <c r="F79" s="5"/>
      <c r="G79" s="5"/>
      <c r="H79" s="5"/>
      <c r="I79" s="5"/>
      <c r="J79" s="5"/>
      <c r="K79" s="5"/>
      <c r="L79" s="5"/>
      <c r="M79" s="5"/>
      <c r="N79" s="5"/>
      <c r="O79" s="5"/>
      <c r="P79" s="5"/>
      <c r="Q79" s="5"/>
      <c r="R79" s="5"/>
      <c r="S79" s="5"/>
      <c r="T79" s="5"/>
      <c r="U79" s="5"/>
      <c r="V79" s="5"/>
      <c r="W79" s="5"/>
      <c r="X79" s="5"/>
      <c r="Y79" s="5"/>
      <c r="Z79" s="5"/>
    </row>
    <row r="80" customFormat="false" ht="12.75" hidden="false" customHeight="true" outlineLevel="0" collapsed="false">
      <c r="A80" s="5"/>
      <c r="B80" s="5"/>
      <c r="C80" s="5"/>
      <c r="D80" s="5"/>
      <c r="E80" s="5"/>
      <c r="F80" s="5"/>
      <c r="G80" s="5"/>
      <c r="H80" s="5"/>
      <c r="I80" s="5"/>
      <c r="J80" s="5"/>
      <c r="K80" s="5"/>
      <c r="L80" s="5"/>
      <c r="M80" s="5"/>
      <c r="N80" s="5"/>
      <c r="O80" s="5"/>
      <c r="P80" s="5"/>
      <c r="Q80" s="5"/>
      <c r="R80" s="5"/>
      <c r="S80" s="5"/>
      <c r="T80" s="5"/>
      <c r="U80" s="5"/>
      <c r="V80" s="5"/>
      <c r="W80" s="5"/>
      <c r="X80" s="5"/>
      <c r="Y80" s="5"/>
      <c r="Z80" s="5"/>
    </row>
    <row r="81" customFormat="false" ht="12.75" hidden="false" customHeight="true" outlineLevel="0" collapsed="false">
      <c r="A81" s="5"/>
      <c r="B81" s="5"/>
      <c r="C81" s="5"/>
      <c r="D81" s="5"/>
      <c r="E81" s="5"/>
      <c r="F81" s="5"/>
      <c r="G81" s="5"/>
      <c r="H81" s="5"/>
      <c r="I81" s="5"/>
      <c r="J81" s="5"/>
      <c r="K81" s="5"/>
      <c r="L81" s="5"/>
      <c r="M81" s="5"/>
      <c r="N81" s="5"/>
      <c r="O81" s="5"/>
      <c r="P81" s="5"/>
      <c r="Q81" s="5"/>
      <c r="R81" s="5"/>
      <c r="S81" s="5"/>
      <c r="T81" s="5"/>
      <c r="U81" s="5"/>
      <c r="V81" s="5"/>
      <c r="W81" s="5"/>
      <c r="X81" s="5"/>
      <c r="Y81" s="5"/>
      <c r="Z81" s="5"/>
    </row>
    <row r="82" customFormat="false" ht="12.75" hidden="false" customHeight="true" outlineLevel="0" collapsed="false">
      <c r="A82" s="5"/>
      <c r="B82" s="5"/>
      <c r="C82" s="5"/>
      <c r="D82" s="5"/>
      <c r="E82" s="5"/>
      <c r="F82" s="5"/>
      <c r="G82" s="5"/>
      <c r="H82" s="5"/>
      <c r="I82" s="5"/>
      <c r="J82" s="5"/>
      <c r="K82" s="5"/>
      <c r="L82" s="5"/>
      <c r="M82" s="5"/>
      <c r="N82" s="5"/>
      <c r="O82" s="5"/>
      <c r="P82" s="5"/>
      <c r="Q82" s="5"/>
      <c r="R82" s="5"/>
      <c r="S82" s="5"/>
      <c r="T82" s="5"/>
      <c r="U82" s="5"/>
      <c r="V82" s="5"/>
      <c r="W82" s="5"/>
      <c r="X82" s="5"/>
      <c r="Y82" s="5"/>
      <c r="Z82" s="5"/>
    </row>
    <row r="83" customFormat="false" ht="12.75" hidden="false" customHeight="true" outlineLevel="0" collapsed="false">
      <c r="A83" s="5"/>
      <c r="B83" s="5"/>
      <c r="C83" s="5"/>
      <c r="D83" s="5"/>
      <c r="E83" s="5"/>
      <c r="F83" s="5"/>
      <c r="G83" s="5"/>
      <c r="H83" s="5"/>
      <c r="I83" s="5"/>
      <c r="J83" s="5"/>
      <c r="K83" s="5"/>
      <c r="L83" s="5"/>
      <c r="M83" s="5"/>
      <c r="N83" s="5"/>
      <c r="O83" s="5"/>
      <c r="P83" s="5"/>
      <c r="Q83" s="5"/>
      <c r="R83" s="5"/>
      <c r="S83" s="5"/>
      <c r="T83" s="5"/>
      <c r="U83" s="5"/>
      <c r="V83" s="5"/>
      <c r="W83" s="5"/>
      <c r="X83" s="5"/>
      <c r="Y83" s="5"/>
      <c r="Z83" s="5"/>
    </row>
    <row r="84" customFormat="false" ht="12.75" hidden="false" customHeight="true" outlineLevel="0" collapsed="false">
      <c r="A84" s="5"/>
      <c r="B84" s="5"/>
      <c r="C84" s="5"/>
      <c r="D84" s="5"/>
      <c r="E84" s="5"/>
      <c r="F84" s="5"/>
      <c r="G84" s="5"/>
      <c r="H84" s="5"/>
      <c r="I84" s="5"/>
      <c r="J84" s="5"/>
      <c r="K84" s="5"/>
      <c r="L84" s="5"/>
      <c r="M84" s="5"/>
      <c r="N84" s="5"/>
      <c r="O84" s="5"/>
      <c r="P84" s="5"/>
      <c r="Q84" s="5"/>
      <c r="R84" s="5"/>
      <c r="S84" s="5"/>
      <c r="T84" s="5"/>
      <c r="U84" s="5"/>
      <c r="V84" s="5"/>
      <c r="W84" s="5"/>
      <c r="X84" s="5"/>
      <c r="Y84" s="5"/>
      <c r="Z84" s="5"/>
    </row>
    <row r="85" customFormat="false" ht="12.75" hidden="false" customHeight="true" outlineLevel="0" collapsed="false">
      <c r="A85" s="5"/>
      <c r="B85" s="5"/>
      <c r="C85" s="5"/>
      <c r="D85" s="5"/>
      <c r="E85" s="5"/>
      <c r="F85" s="5"/>
      <c r="G85" s="5"/>
      <c r="H85" s="5"/>
      <c r="I85" s="5"/>
      <c r="J85" s="5"/>
      <c r="K85" s="5"/>
      <c r="L85" s="5"/>
      <c r="M85" s="5"/>
      <c r="N85" s="5"/>
      <c r="O85" s="5"/>
      <c r="P85" s="5"/>
      <c r="Q85" s="5"/>
      <c r="R85" s="5"/>
      <c r="S85" s="5"/>
      <c r="T85" s="5"/>
      <c r="U85" s="5"/>
      <c r="V85" s="5"/>
      <c r="W85" s="5"/>
      <c r="X85" s="5"/>
      <c r="Y85" s="5"/>
      <c r="Z85" s="5"/>
    </row>
    <row r="86" customFormat="false" ht="12.75" hidden="false" customHeight="true" outlineLevel="0" collapsed="false">
      <c r="A86" s="5"/>
      <c r="B86" s="5"/>
      <c r="C86" s="5"/>
      <c r="D86" s="5"/>
      <c r="E86" s="5"/>
      <c r="F86" s="5"/>
      <c r="G86" s="5"/>
      <c r="H86" s="5"/>
      <c r="I86" s="5"/>
      <c r="J86" s="5"/>
      <c r="K86" s="5"/>
      <c r="L86" s="5"/>
      <c r="M86" s="5"/>
      <c r="N86" s="5"/>
      <c r="O86" s="5"/>
      <c r="P86" s="5"/>
      <c r="Q86" s="5"/>
      <c r="R86" s="5"/>
      <c r="S86" s="5"/>
      <c r="T86" s="5"/>
      <c r="U86" s="5"/>
      <c r="V86" s="5"/>
      <c r="W86" s="5"/>
      <c r="X86" s="5"/>
      <c r="Y86" s="5"/>
      <c r="Z86" s="5"/>
    </row>
    <row r="87" customFormat="false" ht="12.75" hidden="false" customHeight="true" outlineLevel="0" collapsed="false">
      <c r="A87" s="5"/>
      <c r="B87" s="5"/>
      <c r="C87" s="5"/>
      <c r="D87" s="5"/>
      <c r="E87" s="5"/>
      <c r="F87" s="5"/>
      <c r="G87" s="5"/>
      <c r="H87" s="5"/>
      <c r="I87" s="5"/>
      <c r="J87" s="5"/>
      <c r="K87" s="5"/>
      <c r="L87" s="5"/>
      <c r="M87" s="5"/>
      <c r="N87" s="5"/>
      <c r="O87" s="5"/>
      <c r="P87" s="5"/>
      <c r="Q87" s="5"/>
      <c r="R87" s="5"/>
      <c r="S87" s="5"/>
      <c r="T87" s="5"/>
      <c r="U87" s="5"/>
      <c r="V87" s="5"/>
      <c r="W87" s="5"/>
      <c r="X87" s="5"/>
      <c r="Y87" s="5"/>
      <c r="Z87" s="5"/>
    </row>
    <row r="88" customFormat="false" ht="12.75" hidden="false" customHeight="true" outlineLevel="0" collapsed="false">
      <c r="A88" s="5"/>
      <c r="B88" s="5"/>
      <c r="C88" s="5"/>
      <c r="D88" s="5"/>
      <c r="E88" s="5"/>
      <c r="F88" s="5"/>
      <c r="G88" s="5"/>
      <c r="H88" s="5"/>
      <c r="I88" s="5"/>
      <c r="J88" s="5"/>
      <c r="K88" s="5"/>
      <c r="L88" s="5"/>
      <c r="M88" s="5"/>
      <c r="N88" s="5"/>
      <c r="O88" s="5"/>
      <c r="P88" s="5"/>
      <c r="Q88" s="5"/>
      <c r="R88" s="5"/>
      <c r="S88" s="5"/>
      <c r="T88" s="5"/>
      <c r="U88" s="5"/>
      <c r="V88" s="5"/>
      <c r="W88" s="5"/>
      <c r="X88" s="5"/>
      <c r="Y88" s="5"/>
      <c r="Z88" s="5"/>
    </row>
    <row r="89" customFormat="false" ht="12.75" hidden="false" customHeight="true" outlineLevel="0" collapsed="false">
      <c r="A89" s="5"/>
      <c r="B89" s="5"/>
      <c r="C89" s="5"/>
      <c r="D89" s="5"/>
      <c r="E89" s="5"/>
      <c r="F89" s="5"/>
      <c r="G89" s="5"/>
      <c r="H89" s="5"/>
      <c r="I89" s="5"/>
      <c r="J89" s="5"/>
      <c r="K89" s="5"/>
      <c r="L89" s="5"/>
      <c r="M89" s="5"/>
      <c r="N89" s="5"/>
      <c r="O89" s="5"/>
      <c r="P89" s="5"/>
      <c r="Q89" s="5"/>
      <c r="R89" s="5"/>
      <c r="S89" s="5"/>
      <c r="T89" s="5"/>
      <c r="U89" s="5"/>
      <c r="V89" s="5"/>
      <c r="W89" s="5"/>
      <c r="X89" s="5"/>
      <c r="Y89" s="5"/>
      <c r="Z89" s="5"/>
    </row>
    <row r="90" customFormat="false" ht="12.75" hidden="false" customHeight="true" outlineLevel="0" collapsed="false">
      <c r="A90" s="5"/>
      <c r="B90" s="5"/>
      <c r="C90" s="5"/>
      <c r="D90" s="5"/>
      <c r="E90" s="5"/>
      <c r="F90" s="5"/>
      <c r="G90" s="5"/>
      <c r="H90" s="5"/>
      <c r="I90" s="5"/>
      <c r="J90" s="5"/>
      <c r="K90" s="5"/>
      <c r="L90" s="5"/>
      <c r="M90" s="5"/>
      <c r="N90" s="5"/>
      <c r="O90" s="5"/>
      <c r="P90" s="5"/>
      <c r="Q90" s="5"/>
      <c r="R90" s="5"/>
      <c r="S90" s="5"/>
      <c r="T90" s="5"/>
      <c r="U90" s="5"/>
      <c r="V90" s="5"/>
      <c r="W90" s="5"/>
      <c r="X90" s="5"/>
      <c r="Y90" s="5"/>
      <c r="Z90" s="5"/>
    </row>
    <row r="91" customFormat="false" ht="12.75" hidden="false" customHeight="true" outlineLevel="0" collapsed="false">
      <c r="A91" s="5"/>
      <c r="B91" s="5"/>
      <c r="C91" s="5"/>
      <c r="D91" s="5"/>
      <c r="E91" s="5"/>
      <c r="F91" s="5"/>
      <c r="G91" s="5"/>
      <c r="H91" s="5"/>
      <c r="I91" s="5"/>
      <c r="J91" s="5"/>
      <c r="K91" s="5"/>
      <c r="L91" s="5"/>
      <c r="M91" s="5"/>
      <c r="N91" s="5"/>
      <c r="O91" s="5"/>
      <c r="P91" s="5"/>
      <c r="Q91" s="5"/>
      <c r="R91" s="5"/>
      <c r="S91" s="5"/>
      <c r="T91" s="5"/>
      <c r="U91" s="5"/>
      <c r="V91" s="5"/>
      <c r="W91" s="5"/>
      <c r="X91" s="5"/>
      <c r="Y91" s="5"/>
      <c r="Z91" s="5"/>
    </row>
    <row r="92" customFormat="false" ht="12.75" hidden="false" customHeight="true" outlineLevel="0" collapsed="false">
      <c r="A92" s="5"/>
      <c r="B92" s="5"/>
      <c r="C92" s="5"/>
      <c r="D92" s="5"/>
      <c r="E92" s="5"/>
      <c r="F92" s="5"/>
      <c r="G92" s="5"/>
      <c r="H92" s="5"/>
      <c r="I92" s="5"/>
      <c r="J92" s="5"/>
      <c r="K92" s="5"/>
      <c r="L92" s="5"/>
      <c r="M92" s="5"/>
      <c r="N92" s="5"/>
      <c r="O92" s="5"/>
      <c r="P92" s="5"/>
      <c r="Q92" s="5"/>
      <c r="R92" s="5"/>
      <c r="S92" s="5"/>
      <c r="T92" s="5"/>
      <c r="U92" s="5"/>
      <c r="V92" s="5"/>
      <c r="W92" s="5"/>
      <c r="X92" s="5"/>
      <c r="Y92" s="5"/>
      <c r="Z92" s="5"/>
    </row>
    <row r="93" customFormat="false" ht="12.75" hidden="false" customHeight="true" outlineLevel="0" collapsed="false">
      <c r="A93" s="5"/>
      <c r="B93" s="5"/>
      <c r="C93" s="5"/>
      <c r="D93" s="5"/>
      <c r="E93" s="5"/>
      <c r="F93" s="5"/>
      <c r="G93" s="5"/>
      <c r="H93" s="5"/>
      <c r="I93" s="5"/>
      <c r="J93" s="5"/>
      <c r="K93" s="5"/>
      <c r="L93" s="5"/>
      <c r="M93" s="5"/>
      <c r="N93" s="5"/>
      <c r="O93" s="5"/>
      <c r="P93" s="5"/>
      <c r="Q93" s="5"/>
      <c r="R93" s="5"/>
      <c r="S93" s="5"/>
      <c r="T93" s="5"/>
      <c r="U93" s="5"/>
      <c r="V93" s="5"/>
      <c r="W93" s="5"/>
      <c r="X93" s="5"/>
      <c r="Y93" s="5"/>
      <c r="Z93" s="5"/>
    </row>
    <row r="94" customFormat="false" ht="12.75" hidden="false" customHeight="true" outlineLevel="0" collapsed="false">
      <c r="A94" s="5"/>
      <c r="B94" s="5"/>
      <c r="C94" s="5"/>
      <c r="D94" s="5"/>
      <c r="E94" s="5"/>
      <c r="F94" s="5"/>
      <c r="G94" s="5"/>
      <c r="H94" s="5"/>
      <c r="I94" s="5"/>
      <c r="J94" s="5"/>
      <c r="K94" s="5"/>
      <c r="L94" s="5"/>
      <c r="M94" s="5"/>
      <c r="N94" s="5"/>
      <c r="O94" s="5"/>
      <c r="P94" s="5"/>
      <c r="Q94" s="5"/>
      <c r="R94" s="5"/>
      <c r="S94" s="5"/>
      <c r="T94" s="5"/>
      <c r="U94" s="5"/>
      <c r="V94" s="5"/>
      <c r="W94" s="5"/>
      <c r="X94" s="5"/>
      <c r="Y94" s="5"/>
      <c r="Z94" s="5"/>
    </row>
    <row r="95" customFormat="false" ht="12.75" hidden="false" customHeight="true" outlineLevel="0" collapsed="false">
      <c r="A95" s="5"/>
      <c r="B95" s="5"/>
      <c r="C95" s="5"/>
      <c r="D95" s="5"/>
      <c r="E95" s="5"/>
      <c r="F95" s="5"/>
      <c r="G95" s="5"/>
      <c r="H95" s="5"/>
      <c r="I95" s="5"/>
      <c r="J95" s="5"/>
      <c r="K95" s="5"/>
      <c r="L95" s="5"/>
      <c r="M95" s="5"/>
      <c r="N95" s="5"/>
      <c r="O95" s="5"/>
      <c r="P95" s="5"/>
      <c r="Q95" s="5"/>
      <c r="R95" s="5"/>
      <c r="S95" s="5"/>
      <c r="T95" s="5"/>
      <c r="U95" s="5"/>
      <c r="V95" s="5"/>
      <c r="W95" s="5"/>
      <c r="X95" s="5"/>
      <c r="Y95" s="5"/>
      <c r="Z95" s="5"/>
    </row>
    <row r="96" customFormat="false" ht="12.75" hidden="false" customHeight="true" outlineLevel="0" collapsed="false">
      <c r="A96" s="5"/>
      <c r="B96" s="5"/>
      <c r="C96" s="5"/>
      <c r="D96" s="5"/>
      <c r="E96" s="5"/>
      <c r="F96" s="5"/>
      <c r="G96" s="5"/>
      <c r="H96" s="5"/>
      <c r="I96" s="5"/>
      <c r="J96" s="5"/>
      <c r="K96" s="5"/>
      <c r="L96" s="5"/>
      <c r="M96" s="5"/>
      <c r="N96" s="5"/>
      <c r="O96" s="5"/>
      <c r="P96" s="5"/>
      <c r="Q96" s="5"/>
      <c r="R96" s="5"/>
      <c r="S96" s="5"/>
      <c r="T96" s="5"/>
      <c r="U96" s="5"/>
      <c r="V96" s="5"/>
      <c r="W96" s="5"/>
      <c r="X96" s="5"/>
      <c r="Y96" s="5"/>
      <c r="Z96" s="5"/>
    </row>
    <row r="97" customFormat="false" ht="12.75" hidden="false" customHeight="true" outlineLevel="0" collapsed="false">
      <c r="A97" s="5"/>
      <c r="B97" s="5"/>
      <c r="C97" s="5"/>
      <c r="D97" s="5"/>
      <c r="E97" s="5"/>
      <c r="F97" s="5"/>
      <c r="G97" s="5"/>
      <c r="H97" s="5"/>
      <c r="I97" s="5"/>
      <c r="J97" s="5"/>
      <c r="K97" s="5"/>
      <c r="L97" s="5"/>
      <c r="M97" s="5"/>
      <c r="N97" s="5"/>
      <c r="O97" s="5"/>
      <c r="P97" s="5"/>
      <c r="Q97" s="5"/>
      <c r="R97" s="5"/>
      <c r="S97" s="5"/>
      <c r="T97" s="5"/>
      <c r="U97" s="5"/>
      <c r="V97" s="5"/>
      <c r="W97" s="5"/>
      <c r="X97" s="5"/>
      <c r="Y97" s="5"/>
      <c r="Z97" s="5"/>
    </row>
    <row r="98" customFormat="false" ht="12.75" hidden="false" customHeight="true" outlineLevel="0" collapsed="false">
      <c r="A98" s="5"/>
      <c r="B98" s="5"/>
      <c r="C98" s="5"/>
      <c r="D98" s="5"/>
      <c r="E98" s="5"/>
      <c r="F98" s="5"/>
      <c r="G98" s="5"/>
      <c r="H98" s="5"/>
      <c r="I98" s="5"/>
      <c r="J98" s="5"/>
      <c r="K98" s="5"/>
      <c r="L98" s="5"/>
      <c r="M98" s="5"/>
      <c r="N98" s="5"/>
      <c r="O98" s="5"/>
      <c r="P98" s="5"/>
      <c r="Q98" s="5"/>
      <c r="R98" s="5"/>
      <c r="S98" s="5"/>
      <c r="T98" s="5"/>
      <c r="U98" s="5"/>
      <c r="V98" s="5"/>
      <c r="W98" s="5"/>
      <c r="X98" s="5"/>
      <c r="Y98" s="5"/>
      <c r="Z98" s="5"/>
    </row>
    <row r="99" customFormat="false" ht="12.75" hidden="false" customHeight="true" outlineLevel="0" collapsed="false">
      <c r="A99" s="5"/>
      <c r="B99" s="5"/>
      <c r="C99" s="5"/>
      <c r="D99" s="5"/>
      <c r="E99" s="5"/>
      <c r="F99" s="5"/>
      <c r="G99" s="5"/>
      <c r="H99" s="5"/>
      <c r="I99" s="5"/>
      <c r="J99" s="5"/>
      <c r="K99" s="5"/>
      <c r="L99" s="5"/>
      <c r="M99" s="5"/>
      <c r="N99" s="5"/>
      <c r="O99" s="5"/>
      <c r="P99" s="5"/>
      <c r="Q99" s="5"/>
      <c r="R99" s="5"/>
      <c r="S99" s="5"/>
      <c r="T99" s="5"/>
      <c r="U99" s="5"/>
      <c r="V99" s="5"/>
      <c r="W99" s="5"/>
      <c r="X99" s="5"/>
      <c r="Y99" s="5"/>
      <c r="Z99" s="5"/>
    </row>
    <row r="100" customFormat="false" ht="12.75" hidden="false" customHeight="true" outlineLevel="0" collapsed="false">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customFormat="false" ht="12.75" hidden="false" customHeight="true" outlineLevel="0" collapsed="false">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customFormat="false" ht="12.75" hidden="false" customHeight="true" outlineLevel="0" collapsed="false">
      <c r="A102" s="15" t="s">
        <v>87</v>
      </c>
      <c r="B102" s="5" t="s">
        <v>88</v>
      </c>
      <c r="C102" s="5"/>
      <c r="D102" s="5"/>
      <c r="E102" s="5"/>
      <c r="F102" s="5"/>
      <c r="G102" s="5"/>
      <c r="H102" s="5"/>
      <c r="I102" s="5"/>
      <c r="J102" s="5"/>
      <c r="K102" s="5"/>
      <c r="L102" s="5"/>
      <c r="M102" s="5"/>
      <c r="N102" s="5"/>
      <c r="O102" s="5"/>
      <c r="P102" s="5"/>
      <c r="Q102" s="5"/>
      <c r="R102" s="5"/>
      <c r="S102" s="5"/>
      <c r="T102" s="5"/>
      <c r="U102" s="5"/>
      <c r="V102" s="5"/>
      <c r="W102" s="5"/>
      <c r="X102" s="5"/>
      <c r="Y102" s="5"/>
      <c r="Z102" s="5"/>
    </row>
  </sheetData>
  <mergeCells count="1">
    <mergeCell ref="A1:D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2" min="1" style="2" width="36"/>
    <col collapsed="false" customWidth="true" hidden="false" outlineLevel="0" max="8" min="3" style="2" width="10"/>
  </cols>
  <sheetData>
    <row r="1" customFormat="false" ht="66.75" hidden="false" customHeight="true" outlineLevel="0" collapsed="false">
      <c r="A1" s="3" t="s">
        <v>89</v>
      </c>
      <c r="B1" s="3"/>
      <c r="C1" s="3"/>
      <c r="D1" s="3"/>
      <c r="E1" s="3"/>
      <c r="F1" s="3"/>
      <c r="G1" s="3"/>
      <c r="H1" s="3"/>
    </row>
    <row r="2" customFormat="false" ht="24" hidden="false" customHeight="true" outlineLevel="0" collapsed="false">
      <c r="A2" s="16" t="s">
        <v>90</v>
      </c>
      <c r="B2" s="17" t="s">
        <v>91</v>
      </c>
      <c r="C2" s="5"/>
      <c r="D2" s="5"/>
      <c r="E2" s="5"/>
      <c r="F2" s="5"/>
      <c r="G2" s="5"/>
      <c r="H2" s="5"/>
    </row>
    <row r="3" customFormat="false" ht="24" hidden="false" customHeight="true" outlineLevel="0" collapsed="false">
      <c r="A3" s="16" t="s">
        <v>92</v>
      </c>
      <c r="B3" s="17" t="s">
        <v>93</v>
      </c>
      <c r="C3" s="5"/>
      <c r="D3" s="5"/>
      <c r="E3" s="5"/>
      <c r="F3" s="5"/>
      <c r="G3" s="5"/>
      <c r="H3" s="5"/>
    </row>
    <row r="4" customFormat="false" ht="24" hidden="false" customHeight="true" outlineLevel="0" collapsed="false">
      <c r="A4" s="16" t="s">
        <v>94</v>
      </c>
      <c r="B4" s="17" t="s">
        <v>95</v>
      </c>
      <c r="C4" s="5"/>
      <c r="D4" s="5"/>
      <c r="E4" s="5"/>
      <c r="F4" s="5"/>
      <c r="G4" s="5"/>
      <c r="H4" s="5"/>
    </row>
    <row r="5" customFormat="false" ht="24" hidden="false" customHeight="true" outlineLevel="0" collapsed="false">
      <c r="A5" s="18" t="s">
        <v>96</v>
      </c>
      <c r="B5" s="19" t="s">
        <v>97</v>
      </c>
      <c r="C5" s="9"/>
      <c r="D5" s="9"/>
      <c r="E5" s="9"/>
      <c r="F5" s="9"/>
      <c r="G5" s="9"/>
      <c r="H5" s="9"/>
    </row>
    <row r="6" customFormat="false" ht="24" hidden="false" customHeight="true" outlineLevel="0" collapsed="false">
      <c r="A6" s="16" t="s">
        <v>98</v>
      </c>
      <c r="B6" s="17" t="s">
        <v>99</v>
      </c>
      <c r="C6" s="5"/>
      <c r="D6" s="5"/>
      <c r="E6" s="5"/>
      <c r="F6" s="5"/>
      <c r="G6" s="5"/>
      <c r="H6" s="5"/>
    </row>
    <row r="7" customFormat="false" ht="15" hidden="false" customHeight="true" outlineLevel="0" collapsed="false">
      <c r="A7" s="16" t="s">
        <v>100</v>
      </c>
      <c r="B7" s="17" t="s">
        <v>101</v>
      </c>
      <c r="C7" s="5"/>
      <c r="D7" s="5"/>
      <c r="E7" s="5"/>
      <c r="F7" s="5"/>
      <c r="G7" s="5"/>
      <c r="H7" s="5"/>
    </row>
    <row r="8" customFormat="false" ht="24" hidden="false" customHeight="true" outlineLevel="0" collapsed="false">
      <c r="A8" s="16" t="s">
        <v>102</v>
      </c>
      <c r="B8" s="17" t="s">
        <v>103</v>
      </c>
      <c r="C8" s="5"/>
      <c r="D8" s="5"/>
      <c r="E8" s="5"/>
      <c r="F8" s="5"/>
      <c r="G8" s="5"/>
      <c r="H8" s="5"/>
    </row>
    <row r="9" customFormat="false" ht="24" hidden="false" customHeight="true" outlineLevel="0" collapsed="false">
      <c r="A9" s="16" t="s">
        <v>104</v>
      </c>
      <c r="B9" s="17" t="s">
        <v>105</v>
      </c>
      <c r="C9" s="5"/>
      <c r="D9" s="5"/>
      <c r="E9" s="5"/>
      <c r="F9" s="5"/>
      <c r="G9" s="5"/>
      <c r="H9" s="5"/>
    </row>
    <row r="10" customFormat="false" ht="24" hidden="false" customHeight="true" outlineLevel="0" collapsed="false">
      <c r="A10" s="16" t="s">
        <v>106</v>
      </c>
      <c r="B10" s="17" t="s">
        <v>107</v>
      </c>
      <c r="C10" s="5"/>
      <c r="D10" s="5"/>
      <c r="E10" s="5"/>
      <c r="F10" s="5"/>
      <c r="G10" s="5"/>
      <c r="H10" s="5"/>
    </row>
    <row r="11" customFormat="false" ht="15" hidden="false" customHeight="true" outlineLevel="0" collapsed="false">
      <c r="A11" s="16" t="s">
        <v>108</v>
      </c>
      <c r="B11" s="17" t="s">
        <v>109</v>
      </c>
      <c r="C11" s="5"/>
      <c r="D11" s="5"/>
      <c r="E11" s="5"/>
      <c r="F11" s="5"/>
      <c r="G11" s="5"/>
      <c r="H11" s="5"/>
    </row>
    <row r="12" customFormat="false" ht="15" hidden="false" customHeight="true" outlineLevel="0" collapsed="false">
      <c r="A12" s="16" t="s">
        <v>110</v>
      </c>
      <c r="B12" s="17" t="s">
        <v>111</v>
      </c>
      <c r="C12" s="5"/>
      <c r="D12" s="5"/>
      <c r="E12" s="5"/>
      <c r="F12" s="5"/>
      <c r="G12" s="5"/>
      <c r="H12" s="5"/>
    </row>
    <row r="13" customFormat="false" ht="15" hidden="false" customHeight="false" outlineLevel="0" collapsed="false">
      <c r="A13" s="5"/>
      <c r="B13" s="5"/>
      <c r="C13" s="5"/>
      <c r="D13" s="5"/>
      <c r="E13" s="5"/>
      <c r="F13" s="5"/>
      <c r="G13" s="5"/>
      <c r="H13" s="5"/>
    </row>
    <row r="14" customFormat="false" ht="15" hidden="false" customHeight="false" outlineLevel="0" collapsed="false">
      <c r="A14" s="5"/>
      <c r="B14" s="5"/>
      <c r="C14" s="5"/>
      <c r="D14" s="5"/>
      <c r="E14" s="5"/>
      <c r="F14" s="5"/>
      <c r="G14" s="5"/>
      <c r="H14" s="5"/>
    </row>
    <row r="15" customFormat="false" ht="15" hidden="false" customHeight="false" outlineLevel="0" collapsed="false">
      <c r="A15" s="5"/>
      <c r="B15" s="5"/>
      <c r="C15" s="5"/>
      <c r="D15" s="5"/>
      <c r="E15" s="5"/>
      <c r="F15" s="5"/>
      <c r="G15" s="5"/>
      <c r="H15" s="5"/>
    </row>
    <row r="16" customFormat="false" ht="15" hidden="false" customHeight="false" outlineLevel="0" collapsed="false">
      <c r="A16" s="5"/>
      <c r="B16" s="5"/>
      <c r="C16" s="5"/>
      <c r="D16" s="5"/>
      <c r="E16" s="5"/>
      <c r="F16" s="5"/>
      <c r="G16" s="5"/>
      <c r="H16" s="5"/>
    </row>
    <row r="17" customFormat="false" ht="15" hidden="false" customHeight="false" outlineLevel="0" collapsed="false">
      <c r="A17" s="5"/>
      <c r="B17" s="5"/>
      <c r="C17" s="5"/>
      <c r="D17" s="5"/>
      <c r="E17" s="5"/>
      <c r="F17" s="5"/>
      <c r="G17" s="5"/>
      <c r="H17" s="5"/>
    </row>
    <row r="18" customFormat="false" ht="15" hidden="false" customHeight="false" outlineLevel="0" collapsed="false">
      <c r="A18" s="5"/>
      <c r="B18" s="5"/>
      <c r="C18" s="5"/>
      <c r="D18" s="5"/>
      <c r="E18" s="5"/>
      <c r="F18" s="5"/>
      <c r="G18" s="5"/>
      <c r="H18" s="5"/>
    </row>
    <row r="19" customFormat="false" ht="15" hidden="false" customHeight="false" outlineLevel="0" collapsed="false">
      <c r="A19" s="5"/>
      <c r="B19" s="5"/>
      <c r="C19" s="5"/>
      <c r="D19" s="5"/>
      <c r="E19" s="5"/>
      <c r="F19" s="5"/>
      <c r="G19" s="5"/>
      <c r="H19" s="5"/>
    </row>
    <row r="20" customFormat="false" ht="15" hidden="false" customHeight="false" outlineLevel="0" collapsed="false">
      <c r="A20" s="5"/>
      <c r="B20" s="5"/>
      <c r="C20" s="5"/>
      <c r="D20" s="5"/>
      <c r="E20" s="5"/>
      <c r="F20" s="5"/>
      <c r="G20" s="5"/>
      <c r="H20" s="5"/>
    </row>
  </sheetData>
  <mergeCells count="1">
    <mergeCell ref="A1:B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6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4.25" customHeight="true" zeroHeight="false" outlineLevelRow="0" outlineLevelCol="0"/>
  <cols>
    <col collapsed="false" customWidth="true" hidden="false" outlineLevel="0" max="3" min="1" style="20" width="36"/>
    <col collapsed="false" customWidth="true" hidden="false" outlineLevel="0" max="4" min="4" style="1" width="36"/>
    <col collapsed="false" customWidth="true" hidden="false" outlineLevel="0" max="5" min="5" style="2" width="10"/>
    <col collapsed="false" customWidth="true" hidden="false" outlineLevel="0" max="6" min="6" style="2" width="26"/>
    <col collapsed="false" customWidth="true" hidden="false" outlineLevel="0" max="7" min="7" style="2" width="36"/>
    <col collapsed="false" customWidth="true" hidden="false" outlineLevel="0" max="8" min="8" style="2" width="31"/>
    <col collapsed="false" customWidth="true" hidden="false" outlineLevel="0" max="12" min="9" style="2" width="10"/>
  </cols>
  <sheetData>
    <row r="1" customFormat="false" ht="17.25" hidden="false" customHeight="true" outlineLevel="0" collapsed="false">
      <c r="A1" s="3" t="s">
        <v>112</v>
      </c>
      <c r="B1" s="3"/>
      <c r="C1" s="3"/>
      <c r="D1" s="3"/>
      <c r="E1" s="3"/>
      <c r="F1" s="3" t="s">
        <v>113</v>
      </c>
      <c r="G1" s="3" t="s">
        <v>114</v>
      </c>
      <c r="H1" s="3" t="s">
        <v>115</v>
      </c>
      <c r="I1" s="3"/>
      <c r="J1" s="3"/>
      <c r="K1" s="3"/>
      <c r="L1" s="3"/>
      <c r="M1" s="21"/>
      <c r="N1" s="21"/>
      <c r="O1" s="21"/>
      <c r="P1" s="21"/>
      <c r="Q1" s="21"/>
      <c r="R1" s="21"/>
      <c r="S1" s="21"/>
      <c r="T1" s="21"/>
      <c r="U1" s="21"/>
      <c r="V1" s="21"/>
      <c r="W1" s="21"/>
      <c r="X1" s="21"/>
      <c r="Y1" s="21"/>
      <c r="Z1" s="21"/>
    </row>
    <row r="2" customFormat="false" ht="15" hidden="false" customHeight="true" outlineLevel="0" collapsed="false">
      <c r="A2" s="7" t="s">
        <v>116</v>
      </c>
      <c r="B2" s="5"/>
      <c r="C2" s="5"/>
      <c r="D2" s="5"/>
      <c r="E2" s="5"/>
      <c r="F2" s="5" t="s">
        <v>117</v>
      </c>
      <c r="G2" s="5" t="s">
        <v>118</v>
      </c>
      <c r="H2" s="5"/>
      <c r="I2" s="5"/>
      <c r="J2" s="5"/>
      <c r="K2" s="5"/>
      <c r="L2" s="5"/>
      <c r="M2" s="22"/>
      <c r="N2" s="22"/>
      <c r="O2" s="22"/>
      <c r="P2" s="22"/>
      <c r="Q2" s="22"/>
      <c r="R2" s="22"/>
      <c r="S2" s="22"/>
      <c r="T2" s="22"/>
      <c r="U2" s="22"/>
      <c r="V2" s="22"/>
      <c r="W2" s="22"/>
      <c r="X2" s="22"/>
      <c r="Y2" s="22"/>
      <c r="Z2" s="22"/>
    </row>
    <row r="3" customFormat="false" ht="13.5" hidden="false" customHeight="true" outlineLevel="0" collapsed="false">
      <c r="A3" s="5"/>
      <c r="B3" s="5"/>
      <c r="C3" s="5"/>
      <c r="D3" s="5"/>
      <c r="E3" s="5"/>
      <c r="F3" s="5" t="s">
        <v>119</v>
      </c>
      <c r="G3" s="5" t="s">
        <v>120</v>
      </c>
      <c r="H3" s="5"/>
      <c r="I3" s="5"/>
      <c r="J3" s="5"/>
      <c r="K3" s="5"/>
      <c r="L3" s="5"/>
      <c r="M3" s="22"/>
      <c r="N3" s="22"/>
      <c r="O3" s="22"/>
      <c r="P3" s="22"/>
      <c r="Q3" s="22"/>
      <c r="R3" s="22"/>
      <c r="S3" s="22"/>
      <c r="T3" s="22"/>
      <c r="U3" s="22"/>
      <c r="V3" s="22"/>
      <c r="W3" s="22"/>
      <c r="X3" s="22"/>
      <c r="Y3" s="22"/>
      <c r="Z3" s="22"/>
    </row>
    <row r="4" customFormat="false" ht="15" hidden="false" customHeight="true" outlineLevel="0" collapsed="false">
      <c r="A4" s="23" t="s">
        <v>121</v>
      </c>
      <c r="B4" s="5"/>
      <c r="C4" s="5"/>
      <c r="D4" s="5"/>
      <c r="E4" s="5"/>
      <c r="F4" s="5" t="s">
        <v>122</v>
      </c>
      <c r="G4" s="5" t="s">
        <v>123</v>
      </c>
      <c r="H4" s="5"/>
      <c r="I4" s="5"/>
      <c r="J4" s="5"/>
      <c r="K4" s="5"/>
      <c r="L4" s="5"/>
      <c r="M4" s="22"/>
      <c r="N4" s="22"/>
      <c r="O4" s="22"/>
      <c r="P4" s="22"/>
      <c r="Q4" s="22"/>
      <c r="R4" s="22"/>
      <c r="S4" s="22"/>
      <c r="T4" s="22"/>
      <c r="U4" s="22"/>
      <c r="V4" s="22"/>
      <c r="W4" s="22"/>
      <c r="X4" s="22"/>
      <c r="Y4" s="22"/>
      <c r="Z4" s="22"/>
    </row>
    <row r="5" customFormat="false" ht="15" hidden="false" customHeight="true" outlineLevel="0" collapsed="false">
      <c r="A5" s="8" t="s">
        <v>124</v>
      </c>
      <c r="B5" s="8" t="s">
        <v>8</v>
      </c>
      <c r="C5" s="9"/>
      <c r="D5" s="9"/>
      <c r="E5" s="9"/>
      <c r="F5" s="9" t="s">
        <v>125</v>
      </c>
      <c r="G5" s="9" t="s">
        <v>126</v>
      </c>
      <c r="H5" s="9"/>
      <c r="I5" s="5"/>
      <c r="J5" s="5"/>
      <c r="K5" s="5"/>
      <c r="L5" s="5"/>
      <c r="M5" s="22"/>
      <c r="N5" s="22"/>
      <c r="O5" s="22"/>
      <c r="P5" s="22"/>
      <c r="Q5" s="22"/>
      <c r="R5" s="22"/>
      <c r="S5" s="22"/>
      <c r="T5" s="22"/>
      <c r="U5" s="22"/>
      <c r="V5" s="22"/>
      <c r="W5" s="22"/>
      <c r="X5" s="22"/>
      <c r="Y5" s="22"/>
      <c r="Z5" s="22"/>
    </row>
    <row r="6" customFormat="false" ht="15" hidden="false" customHeight="true" outlineLevel="0" collapsed="false">
      <c r="A6" s="7" t="s">
        <v>127</v>
      </c>
      <c r="B6" s="7" t="s">
        <v>128</v>
      </c>
      <c r="C6" s="5"/>
      <c r="D6" s="5"/>
      <c r="E6" s="5"/>
      <c r="F6" s="5" t="s">
        <v>129</v>
      </c>
      <c r="G6" s="5" t="s">
        <v>130</v>
      </c>
      <c r="H6" s="5"/>
      <c r="I6" s="5"/>
      <c r="J6" s="5"/>
      <c r="K6" s="5"/>
      <c r="L6" s="5"/>
      <c r="M6" s="22"/>
      <c r="N6" s="22"/>
      <c r="O6" s="22"/>
      <c r="P6" s="22"/>
      <c r="Q6" s="22"/>
      <c r="R6" s="22"/>
      <c r="S6" s="22"/>
      <c r="T6" s="22"/>
      <c r="U6" s="22"/>
      <c r="V6" s="22"/>
      <c r="W6" s="22"/>
      <c r="X6" s="22"/>
      <c r="Y6" s="22"/>
      <c r="Z6" s="22"/>
    </row>
    <row r="7" customFormat="false" ht="15" hidden="false" customHeight="true" outlineLevel="0" collapsed="false">
      <c r="A7" s="7" t="s">
        <v>131</v>
      </c>
      <c r="B7" s="7" t="s">
        <v>132</v>
      </c>
      <c r="C7" s="5"/>
      <c r="D7" s="5"/>
      <c r="E7" s="5"/>
      <c r="F7" s="5" t="s">
        <v>133</v>
      </c>
      <c r="G7" s="5" t="s">
        <v>134</v>
      </c>
      <c r="H7" s="5"/>
      <c r="I7" s="5"/>
      <c r="J7" s="5"/>
      <c r="K7" s="5"/>
      <c r="L7" s="5"/>
      <c r="M7" s="22"/>
      <c r="N7" s="22"/>
      <c r="O7" s="22"/>
      <c r="P7" s="22"/>
      <c r="Q7" s="22"/>
      <c r="R7" s="22"/>
      <c r="S7" s="22"/>
      <c r="T7" s="22"/>
      <c r="U7" s="22"/>
      <c r="V7" s="22"/>
      <c r="W7" s="22"/>
      <c r="X7" s="22"/>
      <c r="Y7" s="22"/>
      <c r="Z7" s="22"/>
    </row>
    <row r="8" customFormat="false" ht="13.5" hidden="false" customHeight="true" outlineLevel="0" collapsed="false">
      <c r="A8" s="5" t="s">
        <v>135</v>
      </c>
      <c r="B8" s="5" t="s">
        <v>136</v>
      </c>
      <c r="C8" s="5"/>
      <c r="D8" s="5"/>
      <c r="E8" s="5"/>
      <c r="F8" s="5" t="s">
        <v>137</v>
      </c>
      <c r="G8" s="5" t="s">
        <v>138</v>
      </c>
      <c r="H8" s="5"/>
      <c r="I8" s="5"/>
      <c r="J8" s="5"/>
      <c r="K8" s="5"/>
      <c r="L8" s="5"/>
      <c r="M8" s="22"/>
      <c r="N8" s="22"/>
      <c r="O8" s="22"/>
      <c r="P8" s="22"/>
      <c r="Q8" s="22"/>
      <c r="R8" s="22"/>
      <c r="S8" s="22"/>
      <c r="T8" s="22"/>
      <c r="U8" s="22"/>
      <c r="V8" s="22"/>
      <c r="W8" s="22"/>
      <c r="X8" s="22"/>
      <c r="Y8" s="22"/>
      <c r="Z8" s="22"/>
    </row>
    <row r="9" customFormat="false" ht="15" hidden="false" customHeight="true" outlineLevel="0" collapsed="false">
      <c r="A9" s="23" t="s">
        <v>139</v>
      </c>
      <c r="B9" s="5"/>
      <c r="C9" s="5"/>
      <c r="D9" s="5"/>
      <c r="E9" s="5"/>
      <c r="F9" s="5"/>
      <c r="G9" s="5"/>
      <c r="H9" s="5"/>
      <c r="I9" s="5"/>
      <c r="J9" s="5"/>
      <c r="K9" s="5"/>
      <c r="L9" s="5"/>
      <c r="M9" s="22"/>
      <c r="N9" s="22"/>
      <c r="O9" s="22"/>
      <c r="P9" s="22"/>
      <c r="Q9" s="22"/>
      <c r="R9" s="22"/>
      <c r="S9" s="22"/>
      <c r="T9" s="22"/>
      <c r="U9" s="22"/>
      <c r="V9" s="22"/>
      <c r="W9" s="22"/>
      <c r="X9" s="22"/>
      <c r="Y9" s="22"/>
      <c r="Z9" s="22"/>
    </row>
    <row r="10" customFormat="false" ht="15" hidden="false" customHeight="true" outlineLevel="0" collapsed="false">
      <c r="A10" s="7" t="s">
        <v>140</v>
      </c>
      <c r="B10" s="7" t="n">
        <v>2</v>
      </c>
      <c r="C10" s="7" t="s">
        <v>141</v>
      </c>
      <c r="D10" s="5"/>
      <c r="E10" s="5"/>
      <c r="F10" s="5"/>
      <c r="G10" s="5"/>
      <c r="H10" s="5"/>
      <c r="I10" s="5"/>
      <c r="J10" s="5"/>
      <c r="K10" s="5"/>
      <c r="L10" s="5"/>
      <c r="M10" s="22"/>
      <c r="N10" s="22"/>
      <c r="O10" s="22"/>
      <c r="P10" s="22"/>
      <c r="Q10" s="22"/>
      <c r="R10" s="22"/>
      <c r="S10" s="22"/>
      <c r="T10" s="22"/>
      <c r="U10" s="22"/>
      <c r="V10" s="22"/>
      <c r="W10" s="22"/>
      <c r="X10" s="22"/>
      <c r="Y10" s="22"/>
      <c r="Z10" s="22"/>
    </row>
    <row r="11" customFormat="false" ht="15" hidden="false" customHeight="true" outlineLevel="0" collapsed="false">
      <c r="A11" s="7" t="s">
        <v>142</v>
      </c>
      <c r="B11" s="7" t="s">
        <v>143</v>
      </c>
      <c r="C11" s="7" t="s">
        <v>144</v>
      </c>
      <c r="D11" s="5"/>
      <c r="E11" s="5"/>
      <c r="F11" s="5"/>
      <c r="G11" s="5"/>
      <c r="H11" s="5"/>
      <c r="I11" s="5"/>
      <c r="J11" s="5"/>
      <c r="K11" s="5"/>
      <c r="L11" s="5"/>
      <c r="M11" s="22"/>
      <c r="N11" s="22"/>
      <c r="O11" s="22"/>
      <c r="P11" s="22"/>
      <c r="Q11" s="22"/>
      <c r="R11" s="22"/>
      <c r="S11" s="22"/>
      <c r="T11" s="22"/>
      <c r="U11" s="22"/>
      <c r="V11" s="22"/>
      <c r="W11" s="22"/>
      <c r="X11" s="22"/>
      <c r="Y11" s="22"/>
      <c r="Z11" s="22"/>
    </row>
    <row r="12" customFormat="false" ht="15" hidden="false" customHeight="true" outlineLevel="0" collapsed="false">
      <c r="A12" s="7" t="s">
        <v>145</v>
      </c>
      <c r="B12" s="7" t="s">
        <v>146</v>
      </c>
      <c r="C12" s="7" t="s">
        <v>147</v>
      </c>
      <c r="D12" s="5"/>
      <c r="E12" s="5"/>
      <c r="F12" s="5"/>
      <c r="G12" s="5"/>
      <c r="H12" s="5"/>
      <c r="I12" s="5"/>
      <c r="J12" s="5"/>
      <c r="K12" s="5"/>
      <c r="L12" s="5"/>
      <c r="M12" s="22"/>
      <c r="N12" s="22"/>
      <c r="O12" s="22"/>
      <c r="P12" s="22"/>
      <c r="Q12" s="22"/>
      <c r="R12" s="22"/>
      <c r="S12" s="22"/>
      <c r="T12" s="22"/>
      <c r="U12" s="22"/>
      <c r="V12" s="22"/>
      <c r="W12" s="22"/>
      <c r="X12" s="22"/>
      <c r="Y12" s="22"/>
      <c r="Z12" s="22"/>
    </row>
    <row r="13" customFormat="false" ht="15" hidden="false" customHeight="true" outlineLevel="0" collapsed="false">
      <c r="A13" s="7" t="s">
        <v>148</v>
      </c>
      <c r="B13" s="7" t="n">
        <v>1</v>
      </c>
      <c r="C13" s="7" t="s">
        <v>149</v>
      </c>
      <c r="D13" s="5"/>
      <c r="E13" s="5"/>
      <c r="F13" s="5"/>
      <c r="G13" s="5"/>
      <c r="H13" s="5"/>
      <c r="I13" s="5"/>
      <c r="J13" s="5"/>
      <c r="K13" s="5"/>
      <c r="L13" s="5"/>
      <c r="M13" s="22"/>
      <c r="N13" s="22"/>
      <c r="O13" s="22"/>
      <c r="P13" s="22"/>
      <c r="Q13" s="22"/>
      <c r="R13" s="22"/>
      <c r="S13" s="22"/>
      <c r="T13" s="22"/>
      <c r="U13" s="22"/>
      <c r="V13" s="22"/>
      <c r="W13" s="22"/>
      <c r="X13" s="22"/>
      <c r="Y13" s="22"/>
      <c r="Z13" s="22"/>
    </row>
    <row r="14" customFormat="false" ht="15" hidden="false" customHeight="true" outlineLevel="0" collapsed="false">
      <c r="A14" s="7" t="s">
        <v>150</v>
      </c>
      <c r="B14" s="7" t="n">
        <v>1</v>
      </c>
      <c r="C14" s="7" t="s">
        <v>151</v>
      </c>
      <c r="D14" s="5"/>
      <c r="E14" s="5"/>
      <c r="F14" s="5"/>
      <c r="G14" s="5"/>
      <c r="H14" s="5"/>
      <c r="I14" s="5"/>
      <c r="J14" s="5"/>
      <c r="K14" s="5"/>
      <c r="L14" s="5"/>
      <c r="M14" s="22"/>
      <c r="N14" s="22"/>
      <c r="O14" s="22"/>
      <c r="P14" s="22"/>
      <c r="Q14" s="22"/>
      <c r="R14" s="22"/>
      <c r="S14" s="22"/>
      <c r="T14" s="22"/>
      <c r="U14" s="22"/>
      <c r="V14" s="22"/>
      <c r="W14" s="22"/>
      <c r="X14" s="22"/>
      <c r="Y14" s="22"/>
      <c r="Z14" s="22"/>
    </row>
    <row r="15" customFormat="false" ht="15" hidden="false" customHeight="true" outlineLevel="0" collapsed="false">
      <c r="A15" s="7" t="s">
        <v>152</v>
      </c>
      <c r="B15" s="7" t="n">
        <v>0</v>
      </c>
      <c r="C15" s="7" t="s">
        <v>153</v>
      </c>
      <c r="D15" s="5"/>
      <c r="E15" s="5"/>
      <c r="F15" s="5"/>
      <c r="G15" s="5"/>
      <c r="H15" s="5"/>
      <c r="I15" s="5"/>
      <c r="J15" s="5"/>
      <c r="K15" s="5"/>
      <c r="L15" s="5"/>
      <c r="M15" s="22"/>
      <c r="N15" s="22"/>
      <c r="O15" s="22"/>
      <c r="P15" s="22"/>
      <c r="Q15" s="22"/>
      <c r="R15" s="22"/>
      <c r="S15" s="22"/>
      <c r="T15" s="22"/>
      <c r="U15" s="22"/>
      <c r="V15" s="22"/>
      <c r="W15" s="22"/>
      <c r="X15" s="22"/>
      <c r="Y15" s="22"/>
      <c r="Z15" s="22"/>
    </row>
    <row r="16" customFormat="false" ht="13.5" hidden="false" customHeight="true" outlineLevel="0" collapsed="false">
      <c r="A16" s="5" t="s">
        <v>154</v>
      </c>
      <c r="B16" s="5" t="s">
        <v>155</v>
      </c>
      <c r="C16" s="5" t="s">
        <v>156</v>
      </c>
      <c r="D16" s="5" t="s">
        <v>157</v>
      </c>
      <c r="E16" s="5"/>
      <c r="F16" s="5"/>
      <c r="G16" s="5"/>
      <c r="H16" s="5"/>
      <c r="I16" s="5"/>
      <c r="J16" s="5"/>
      <c r="K16" s="5"/>
      <c r="L16" s="5"/>
      <c r="M16" s="22"/>
      <c r="N16" s="22"/>
      <c r="O16" s="22"/>
      <c r="P16" s="22"/>
      <c r="Q16" s="22"/>
      <c r="R16" s="22"/>
      <c r="S16" s="22"/>
      <c r="T16" s="22"/>
      <c r="U16" s="22"/>
      <c r="V16" s="22"/>
      <c r="W16" s="22"/>
      <c r="X16" s="22"/>
      <c r="Y16" s="22"/>
      <c r="Z16" s="22"/>
    </row>
    <row r="17" customFormat="false" ht="15" hidden="false" customHeight="true" outlineLevel="0" collapsed="false">
      <c r="A17" s="23" t="s">
        <v>158</v>
      </c>
      <c r="B17" s="5"/>
      <c r="C17" s="5"/>
      <c r="D17" s="5"/>
      <c r="E17" s="5"/>
      <c r="F17" s="5"/>
      <c r="G17" s="5"/>
      <c r="H17" s="5"/>
      <c r="I17" s="5"/>
      <c r="J17" s="5"/>
      <c r="K17" s="5"/>
      <c r="L17" s="5"/>
      <c r="M17" s="22"/>
      <c r="N17" s="22"/>
      <c r="O17" s="22"/>
      <c r="P17" s="22"/>
      <c r="Q17" s="22"/>
      <c r="R17" s="22"/>
      <c r="S17" s="22"/>
      <c r="T17" s="22"/>
      <c r="U17" s="22"/>
      <c r="V17" s="22"/>
      <c r="W17" s="22"/>
      <c r="X17" s="22"/>
      <c r="Y17" s="22"/>
      <c r="Z17" s="22"/>
    </row>
    <row r="18" customFormat="false" ht="15" hidden="false" customHeight="true" outlineLevel="0" collapsed="false">
      <c r="A18" s="7" t="s">
        <v>159</v>
      </c>
      <c r="B18" s="7" t="n">
        <v>0.95</v>
      </c>
      <c r="C18" s="5"/>
      <c r="D18" s="5"/>
      <c r="E18" s="5"/>
      <c r="F18" s="5"/>
      <c r="G18" s="5"/>
      <c r="H18" s="5"/>
      <c r="I18" s="5"/>
      <c r="J18" s="5"/>
      <c r="K18" s="5"/>
      <c r="L18" s="5"/>
      <c r="M18" s="22"/>
      <c r="N18" s="22"/>
      <c r="O18" s="22"/>
      <c r="P18" s="22"/>
      <c r="Q18" s="22"/>
      <c r="R18" s="22"/>
      <c r="S18" s="22"/>
      <c r="T18" s="22"/>
      <c r="U18" s="22"/>
      <c r="V18" s="22"/>
      <c r="W18" s="22"/>
      <c r="X18" s="22"/>
      <c r="Y18" s="22"/>
      <c r="Z18" s="22"/>
    </row>
    <row r="19" customFormat="false" ht="15" hidden="false" customHeight="true" outlineLevel="0" collapsed="false">
      <c r="A19" s="7" t="s">
        <v>160</v>
      </c>
      <c r="B19" s="7" t="n">
        <v>0.05</v>
      </c>
      <c r="C19" s="5"/>
      <c r="D19" s="5"/>
      <c r="E19" s="5"/>
      <c r="F19" s="5"/>
      <c r="G19" s="5"/>
      <c r="H19" s="5"/>
      <c r="I19" s="5"/>
      <c r="J19" s="5"/>
      <c r="K19" s="5"/>
      <c r="L19" s="5"/>
      <c r="M19" s="22"/>
      <c r="N19" s="22"/>
      <c r="O19" s="22"/>
      <c r="P19" s="22"/>
      <c r="Q19" s="22"/>
      <c r="R19" s="22"/>
      <c r="S19" s="22"/>
      <c r="T19" s="22"/>
      <c r="U19" s="22"/>
      <c r="V19" s="22"/>
      <c r="W19" s="22"/>
      <c r="X19" s="22"/>
      <c r="Y19" s="22"/>
      <c r="Z19" s="22"/>
    </row>
    <row r="20" customFormat="false" ht="15" hidden="false" customHeight="true" outlineLevel="0" collapsed="false">
      <c r="A20" s="7" t="s">
        <v>161</v>
      </c>
      <c r="B20" s="7" t="n">
        <v>2</v>
      </c>
      <c r="C20" s="5"/>
      <c r="D20" s="5"/>
      <c r="E20" s="5"/>
      <c r="F20" s="5"/>
      <c r="G20" s="5"/>
      <c r="H20" s="5"/>
      <c r="I20" s="5"/>
      <c r="J20" s="5"/>
      <c r="K20" s="5"/>
      <c r="L20" s="5"/>
      <c r="M20" s="22"/>
      <c r="N20" s="22"/>
      <c r="O20" s="22"/>
      <c r="P20" s="22"/>
      <c r="Q20" s="22"/>
      <c r="R20" s="22"/>
      <c r="S20" s="22"/>
      <c r="T20" s="22"/>
      <c r="U20" s="22"/>
      <c r="V20" s="22"/>
      <c r="W20" s="22"/>
      <c r="X20" s="22"/>
      <c r="Y20" s="22"/>
      <c r="Z20" s="22"/>
    </row>
    <row r="21" customFormat="false" ht="15" hidden="false" customHeight="true" outlineLevel="0" collapsed="false">
      <c r="A21" s="7" t="s">
        <v>162</v>
      </c>
      <c r="B21" s="7" t="n">
        <v>1</v>
      </c>
      <c r="C21" s="5"/>
      <c r="D21" s="5"/>
      <c r="E21" s="5"/>
      <c r="F21" s="5"/>
      <c r="G21" s="5"/>
      <c r="H21" s="5"/>
      <c r="I21" s="5"/>
      <c r="J21" s="5"/>
      <c r="K21" s="5"/>
      <c r="L21" s="5"/>
      <c r="M21" s="22"/>
      <c r="N21" s="22"/>
      <c r="O21" s="22"/>
      <c r="P21" s="22"/>
      <c r="Q21" s="22"/>
      <c r="R21" s="22"/>
      <c r="S21" s="22"/>
      <c r="T21" s="22"/>
      <c r="U21" s="22"/>
      <c r="V21" s="22"/>
      <c r="W21" s="22"/>
      <c r="X21" s="22"/>
      <c r="Y21" s="22"/>
      <c r="Z21" s="22"/>
    </row>
    <row r="22" customFormat="false" ht="15" hidden="false" customHeight="true" outlineLevel="0" collapsed="false">
      <c r="A22" s="7" t="s">
        <v>163</v>
      </c>
      <c r="B22" s="7" t="n">
        <v>2</v>
      </c>
      <c r="C22" s="5"/>
      <c r="D22" s="5"/>
      <c r="E22" s="5"/>
      <c r="F22" s="5"/>
      <c r="G22" s="5"/>
      <c r="H22" s="5"/>
      <c r="I22" s="5"/>
      <c r="J22" s="5"/>
      <c r="K22" s="5"/>
      <c r="L22" s="5"/>
      <c r="M22" s="22"/>
      <c r="N22" s="22"/>
      <c r="O22" s="22"/>
      <c r="P22" s="22"/>
      <c r="Q22" s="22"/>
      <c r="R22" s="22"/>
      <c r="S22" s="22"/>
      <c r="T22" s="22"/>
      <c r="U22" s="22"/>
      <c r="V22" s="22"/>
      <c r="W22" s="22"/>
      <c r="X22" s="22"/>
      <c r="Y22" s="22"/>
      <c r="Z22" s="22"/>
    </row>
    <row r="23" customFormat="false" ht="15" hidden="false" customHeight="true" outlineLevel="0" collapsed="false">
      <c r="A23" s="7" t="s">
        <v>164</v>
      </c>
      <c r="B23" s="7" t="n">
        <v>0.05</v>
      </c>
      <c r="C23" s="5"/>
      <c r="D23" s="5"/>
      <c r="E23" s="5"/>
      <c r="F23" s="5"/>
      <c r="G23" s="5"/>
      <c r="H23" s="5"/>
      <c r="I23" s="5"/>
      <c r="J23" s="5"/>
      <c r="K23" s="5"/>
      <c r="L23" s="5"/>
      <c r="M23" s="22"/>
      <c r="N23" s="22"/>
      <c r="O23" s="22"/>
      <c r="P23" s="22"/>
      <c r="Q23" s="22"/>
      <c r="R23" s="22"/>
      <c r="S23" s="22"/>
      <c r="T23" s="22"/>
      <c r="U23" s="22"/>
      <c r="V23" s="22"/>
      <c r="W23" s="22"/>
      <c r="X23" s="22"/>
      <c r="Y23" s="22"/>
      <c r="Z23" s="22"/>
    </row>
    <row r="24" customFormat="false" ht="15" hidden="false" customHeight="true" outlineLevel="0" collapsed="false">
      <c r="A24" s="7" t="s">
        <v>165</v>
      </c>
      <c r="B24" s="7" t="n">
        <v>-0.1</v>
      </c>
      <c r="C24" s="5"/>
      <c r="D24" s="5"/>
      <c r="E24" s="5"/>
      <c r="F24" s="5"/>
      <c r="G24" s="5"/>
      <c r="H24" s="5"/>
      <c r="I24" s="5"/>
      <c r="J24" s="5"/>
      <c r="K24" s="5"/>
      <c r="L24" s="5"/>
      <c r="M24" s="22"/>
      <c r="N24" s="22"/>
      <c r="O24" s="22"/>
      <c r="P24" s="22"/>
      <c r="Q24" s="22"/>
      <c r="R24" s="22"/>
      <c r="S24" s="22"/>
      <c r="T24" s="22"/>
      <c r="U24" s="22"/>
      <c r="V24" s="22"/>
      <c r="W24" s="22"/>
      <c r="X24" s="22"/>
      <c r="Y24" s="22"/>
      <c r="Z24" s="22"/>
    </row>
    <row r="25" customFormat="false" ht="15" hidden="false" customHeight="true" outlineLevel="0" collapsed="false">
      <c r="A25" s="7" t="s">
        <v>166</v>
      </c>
      <c r="B25" s="7" t="n">
        <v>25</v>
      </c>
      <c r="C25" s="5"/>
      <c r="D25" s="5"/>
      <c r="E25" s="5"/>
      <c r="F25" s="5"/>
      <c r="G25" s="5"/>
      <c r="H25" s="5"/>
      <c r="I25" s="5"/>
      <c r="J25" s="5"/>
      <c r="K25" s="5"/>
      <c r="L25" s="5"/>
      <c r="M25" s="22"/>
      <c r="N25" s="22"/>
      <c r="O25" s="22"/>
      <c r="P25" s="22"/>
      <c r="Q25" s="22"/>
      <c r="R25" s="22"/>
      <c r="S25" s="22"/>
      <c r="T25" s="22"/>
      <c r="U25" s="22"/>
      <c r="V25" s="22"/>
      <c r="W25" s="22"/>
      <c r="X25" s="22"/>
      <c r="Y25" s="22"/>
      <c r="Z25" s="22"/>
    </row>
    <row r="26" customFormat="false" ht="15" hidden="false" customHeight="true" outlineLevel="0" collapsed="false">
      <c r="A26" s="7" t="s">
        <v>167</v>
      </c>
      <c r="B26" s="7" t="n">
        <v>0.02</v>
      </c>
      <c r="C26" s="5"/>
      <c r="D26" s="5"/>
      <c r="E26" s="5"/>
      <c r="F26" s="5"/>
      <c r="G26" s="5"/>
      <c r="H26" s="5"/>
      <c r="I26" s="5"/>
      <c r="J26" s="5"/>
      <c r="K26" s="5"/>
      <c r="L26" s="5"/>
      <c r="M26" s="22"/>
      <c r="N26" s="22"/>
      <c r="O26" s="22"/>
      <c r="P26" s="22"/>
      <c r="Q26" s="22"/>
      <c r="R26" s="22"/>
      <c r="S26" s="22"/>
      <c r="T26" s="22"/>
      <c r="U26" s="22"/>
      <c r="V26" s="22"/>
      <c r="W26" s="22"/>
      <c r="X26" s="22"/>
      <c r="Y26" s="22"/>
      <c r="Z26" s="22"/>
    </row>
    <row r="27" customFormat="false" ht="13.5" hidden="false" customHeight="true" outlineLevel="0" collapsed="false">
      <c r="A27" s="7" t="s">
        <v>168</v>
      </c>
      <c r="B27" s="7" t="n">
        <v>0.083</v>
      </c>
      <c r="C27" s="7" t="s">
        <v>169</v>
      </c>
      <c r="D27" s="5"/>
      <c r="E27" s="5"/>
      <c r="F27" s="5"/>
      <c r="G27" s="5"/>
      <c r="H27" s="5"/>
      <c r="I27" s="5"/>
      <c r="J27" s="5"/>
      <c r="K27" s="5"/>
      <c r="L27" s="5"/>
      <c r="M27" s="22"/>
      <c r="N27" s="22"/>
      <c r="O27" s="22"/>
      <c r="P27" s="22"/>
      <c r="Q27" s="22"/>
      <c r="R27" s="22"/>
      <c r="S27" s="22"/>
      <c r="T27" s="22"/>
      <c r="U27" s="22"/>
      <c r="V27" s="22"/>
      <c r="W27" s="22"/>
      <c r="X27" s="22"/>
      <c r="Y27" s="22"/>
      <c r="Z27" s="22"/>
    </row>
    <row r="28" customFormat="false" ht="15" hidden="false" customHeight="true" outlineLevel="0" collapsed="false">
      <c r="A28" s="23" t="s">
        <v>170</v>
      </c>
      <c r="B28" s="5"/>
      <c r="C28" s="5"/>
      <c r="D28" s="5"/>
      <c r="E28" s="5"/>
      <c r="F28" s="5"/>
      <c r="G28" s="5"/>
      <c r="H28" s="5"/>
      <c r="I28" s="5"/>
      <c r="J28" s="5"/>
      <c r="K28" s="5"/>
      <c r="L28" s="5"/>
      <c r="M28" s="22"/>
      <c r="N28" s="22"/>
      <c r="O28" s="22"/>
      <c r="P28" s="22"/>
      <c r="Q28" s="22"/>
      <c r="R28" s="22"/>
      <c r="S28" s="22"/>
      <c r="T28" s="22"/>
      <c r="U28" s="22"/>
      <c r="V28" s="22"/>
      <c r="W28" s="22"/>
      <c r="X28" s="22"/>
      <c r="Y28" s="22"/>
      <c r="Z28" s="22"/>
    </row>
    <row r="29" customFormat="false" ht="15" hidden="false" customHeight="true" outlineLevel="0" collapsed="false">
      <c r="A29" s="7" t="s">
        <v>171</v>
      </c>
      <c r="B29" s="7" t="s">
        <v>172</v>
      </c>
      <c r="C29" s="7" t="s">
        <v>173</v>
      </c>
      <c r="D29" s="5"/>
      <c r="E29" s="5"/>
      <c r="F29" s="5"/>
      <c r="G29" s="5"/>
      <c r="H29" s="5"/>
      <c r="I29" s="5"/>
      <c r="J29" s="5"/>
      <c r="K29" s="5"/>
      <c r="L29" s="5"/>
      <c r="M29" s="22"/>
      <c r="N29" s="22"/>
      <c r="O29" s="22"/>
      <c r="P29" s="22"/>
      <c r="Q29" s="22"/>
      <c r="R29" s="22"/>
      <c r="S29" s="22"/>
      <c r="T29" s="22"/>
      <c r="U29" s="22"/>
      <c r="V29" s="22"/>
      <c r="W29" s="22"/>
      <c r="X29" s="22"/>
      <c r="Y29" s="22"/>
      <c r="Z29" s="22"/>
    </row>
    <row r="30" customFormat="false" ht="15" hidden="false" customHeight="true" outlineLevel="0" collapsed="false">
      <c r="A30" s="7" t="s">
        <v>174</v>
      </c>
      <c r="B30" s="7" t="n">
        <v>1</v>
      </c>
      <c r="C30" s="7" t="n">
        <v>-0.9</v>
      </c>
      <c r="D30" s="5"/>
      <c r="E30" s="5"/>
      <c r="F30" s="5"/>
      <c r="G30" s="5"/>
      <c r="H30" s="5"/>
      <c r="I30" s="5"/>
      <c r="J30" s="5"/>
      <c r="K30" s="5"/>
      <c r="L30" s="5"/>
      <c r="M30" s="22"/>
      <c r="N30" s="22"/>
      <c r="O30" s="22"/>
      <c r="P30" s="22"/>
      <c r="Q30" s="22"/>
      <c r="R30" s="22"/>
      <c r="S30" s="22"/>
      <c r="T30" s="22"/>
      <c r="U30" s="22"/>
      <c r="V30" s="22"/>
      <c r="W30" s="22"/>
      <c r="X30" s="22"/>
      <c r="Y30" s="22"/>
      <c r="Z30" s="22"/>
    </row>
    <row r="31" customFormat="false" ht="15" hidden="false" customHeight="true" outlineLevel="0" collapsed="false">
      <c r="A31" s="7" t="s">
        <v>175</v>
      </c>
      <c r="B31" s="7" t="n">
        <v>2</v>
      </c>
      <c r="C31" s="7" t="n">
        <v>-0.7</v>
      </c>
      <c r="D31" s="5"/>
      <c r="E31" s="5"/>
      <c r="F31" s="5"/>
      <c r="G31" s="5"/>
      <c r="H31" s="5"/>
      <c r="I31" s="5"/>
      <c r="J31" s="5"/>
      <c r="K31" s="5"/>
      <c r="L31" s="5"/>
      <c r="M31" s="22"/>
      <c r="N31" s="22"/>
      <c r="O31" s="22"/>
      <c r="P31" s="22"/>
      <c r="Q31" s="22"/>
      <c r="R31" s="22"/>
      <c r="S31" s="22"/>
      <c r="T31" s="22"/>
      <c r="U31" s="22"/>
      <c r="V31" s="22"/>
      <c r="W31" s="22"/>
      <c r="X31" s="22"/>
      <c r="Y31" s="22"/>
      <c r="Z31" s="22"/>
    </row>
    <row r="32" customFormat="false" ht="15" hidden="false" customHeight="true" outlineLevel="0" collapsed="false">
      <c r="A32" s="7" t="s">
        <v>176</v>
      </c>
      <c r="B32" s="7" t="n">
        <v>3</v>
      </c>
      <c r="C32" s="7" t="n">
        <v>-0.65</v>
      </c>
      <c r="D32" s="5"/>
      <c r="E32" s="5"/>
      <c r="F32" s="5"/>
      <c r="G32" s="5"/>
      <c r="H32" s="5"/>
      <c r="I32" s="5"/>
      <c r="J32" s="5"/>
      <c r="K32" s="5"/>
      <c r="L32" s="5"/>
      <c r="M32" s="22"/>
      <c r="N32" s="22"/>
      <c r="O32" s="22"/>
      <c r="P32" s="22"/>
      <c r="Q32" s="22"/>
      <c r="R32" s="22"/>
      <c r="S32" s="22"/>
      <c r="T32" s="22"/>
      <c r="U32" s="22"/>
      <c r="V32" s="22"/>
      <c r="W32" s="22"/>
      <c r="X32" s="22"/>
      <c r="Y32" s="22"/>
      <c r="Z32" s="22"/>
    </row>
    <row r="33" customFormat="false" ht="15" hidden="false" customHeight="true" outlineLevel="0" collapsed="false">
      <c r="A33" s="7" t="s">
        <v>177</v>
      </c>
      <c r="B33" s="7" t="n">
        <v>4</v>
      </c>
      <c r="C33" s="7" t="n">
        <v>-0.5</v>
      </c>
      <c r="D33" s="5"/>
      <c r="E33" s="5"/>
      <c r="F33" s="5"/>
      <c r="G33" s="5"/>
      <c r="H33" s="5"/>
      <c r="I33" s="5"/>
      <c r="J33" s="5"/>
      <c r="K33" s="5"/>
      <c r="L33" s="5"/>
      <c r="M33" s="22"/>
      <c r="N33" s="22"/>
      <c r="O33" s="22"/>
      <c r="P33" s="22"/>
      <c r="Q33" s="22"/>
      <c r="R33" s="22"/>
      <c r="S33" s="22"/>
      <c r="T33" s="22"/>
      <c r="U33" s="22"/>
      <c r="V33" s="22"/>
      <c r="W33" s="22"/>
      <c r="X33" s="22"/>
      <c r="Y33" s="22"/>
      <c r="Z33" s="22"/>
    </row>
    <row r="34" customFormat="false" ht="15" hidden="false" customHeight="true" outlineLevel="0" collapsed="false">
      <c r="A34" s="7" t="s">
        <v>178</v>
      </c>
      <c r="B34" s="7" t="n">
        <v>5</v>
      </c>
      <c r="C34" s="7" t="n">
        <v>-0.55</v>
      </c>
      <c r="D34" s="5"/>
      <c r="E34" s="5"/>
      <c r="F34" s="5"/>
      <c r="G34" s="5"/>
      <c r="H34" s="5"/>
      <c r="I34" s="5"/>
      <c r="J34" s="5"/>
      <c r="K34" s="5"/>
      <c r="L34" s="5"/>
      <c r="M34" s="22"/>
      <c r="N34" s="22"/>
      <c r="O34" s="22"/>
      <c r="P34" s="22"/>
      <c r="Q34" s="22"/>
      <c r="R34" s="22"/>
      <c r="S34" s="22"/>
      <c r="T34" s="22"/>
      <c r="U34" s="22"/>
      <c r="V34" s="22"/>
      <c r="W34" s="22"/>
      <c r="X34" s="22"/>
      <c r="Y34" s="22"/>
      <c r="Z34" s="22"/>
    </row>
    <row r="35" customFormat="false" ht="15" hidden="false" customHeight="true" outlineLevel="0" collapsed="false">
      <c r="A35" s="7" t="s">
        <v>179</v>
      </c>
      <c r="B35" s="7" t="n">
        <v>6</v>
      </c>
      <c r="C35" s="7" t="n">
        <v>-0.45</v>
      </c>
      <c r="D35" s="5"/>
      <c r="E35" s="5"/>
      <c r="F35" s="5"/>
      <c r="G35" s="5"/>
      <c r="H35" s="5"/>
      <c r="I35" s="5"/>
      <c r="J35" s="5"/>
      <c r="K35" s="5"/>
      <c r="L35" s="5"/>
      <c r="M35" s="22"/>
      <c r="N35" s="22"/>
      <c r="O35" s="22"/>
      <c r="P35" s="22"/>
      <c r="Q35" s="22"/>
      <c r="R35" s="22"/>
      <c r="S35" s="22"/>
      <c r="T35" s="22"/>
      <c r="U35" s="22"/>
      <c r="V35" s="22"/>
      <c r="W35" s="22"/>
      <c r="X35" s="22"/>
      <c r="Y35" s="22"/>
      <c r="Z35" s="22"/>
    </row>
    <row r="36" customFormat="false" ht="15" hidden="false" customHeight="true" outlineLevel="0" collapsed="false">
      <c r="A36" s="7" t="s">
        <v>180</v>
      </c>
      <c r="B36" s="7" t="n">
        <v>7</v>
      </c>
      <c r="C36" s="7" t="n">
        <v>-0.4</v>
      </c>
      <c r="D36" s="5"/>
      <c r="E36" s="5"/>
      <c r="F36" s="5"/>
      <c r="G36" s="5"/>
      <c r="H36" s="5"/>
      <c r="I36" s="5"/>
      <c r="J36" s="5"/>
      <c r="K36" s="5"/>
      <c r="L36" s="5"/>
      <c r="M36" s="22"/>
      <c r="N36" s="22"/>
      <c r="O36" s="22"/>
      <c r="P36" s="22"/>
      <c r="Q36" s="22"/>
      <c r="R36" s="22"/>
      <c r="S36" s="22"/>
      <c r="T36" s="22"/>
      <c r="U36" s="22"/>
      <c r="V36" s="22"/>
      <c r="W36" s="22"/>
      <c r="X36" s="22"/>
      <c r="Y36" s="22"/>
      <c r="Z36" s="22"/>
    </row>
    <row r="37" customFormat="false" ht="15" hidden="false" customHeight="true" outlineLevel="0" collapsed="false">
      <c r="A37" s="7" t="s">
        <v>181</v>
      </c>
      <c r="B37" s="7" t="n">
        <v>8</v>
      </c>
      <c r="C37" s="7" t="n">
        <v>-0.65</v>
      </c>
      <c r="D37" s="5"/>
      <c r="E37" s="5"/>
      <c r="F37" s="5"/>
      <c r="G37" s="5"/>
      <c r="H37" s="5"/>
      <c r="I37" s="5"/>
      <c r="J37" s="5"/>
      <c r="K37" s="5"/>
      <c r="L37" s="5"/>
      <c r="M37" s="22"/>
      <c r="N37" s="22"/>
      <c r="O37" s="22"/>
      <c r="P37" s="22"/>
      <c r="Q37" s="22"/>
      <c r="R37" s="22"/>
      <c r="S37" s="22"/>
      <c r="T37" s="22"/>
      <c r="U37" s="22"/>
      <c r="V37" s="22"/>
      <c r="W37" s="22"/>
      <c r="X37" s="22"/>
      <c r="Y37" s="22"/>
      <c r="Z37" s="22"/>
    </row>
    <row r="38" customFormat="false" ht="15" hidden="false" customHeight="true" outlineLevel="0" collapsed="false">
      <c r="A38" s="7" t="s">
        <v>182</v>
      </c>
      <c r="B38" s="7" t="n">
        <f aca="false">COUNTA(A30:A37)</f>
        <v>8</v>
      </c>
      <c r="C38" s="7" t="s">
        <v>183</v>
      </c>
      <c r="D38" s="5"/>
      <c r="E38" s="5"/>
      <c r="F38" s="5"/>
      <c r="G38" s="5"/>
      <c r="H38" s="5"/>
      <c r="I38" s="5"/>
      <c r="J38" s="5"/>
      <c r="K38" s="5"/>
      <c r="L38" s="5"/>
      <c r="M38" s="22"/>
      <c r="N38" s="22"/>
      <c r="O38" s="22"/>
      <c r="P38" s="22"/>
      <c r="Q38" s="22"/>
      <c r="R38" s="22"/>
      <c r="S38" s="22"/>
      <c r="T38" s="22"/>
      <c r="U38" s="22"/>
      <c r="V38" s="22"/>
      <c r="W38" s="22"/>
      <c r="X38" s="22"/>
      <c r="Y38" s="22"/>
      <c r="Z38" s="22"/>
    </row>
    <row r="39" customFormat="false" ht="13.5" hidden="false" customHeight="true" outlineLevel="0" collapsed="false">
      <c r="A39" s="5"/>
      <c r="B39" s="5"/>
      <c r="C39" s="5"/>
      <c r="D39" s="5"/>
      <c r="E39" s="5"/>
      <c r="F39" s="5"/>
      <c r="G39" s="5"/>
      <c r="H39" s="5"/>
      <c r="I39" s="5"/>
      <c r="J39" s="5"/>
      <c r="K39" s="5"/>
      <c r="L39" s="5"/>
      <c r="M39" s="22"/>
      <c r="N39" s="22"/>
      <c r="O39" s="22"/>
      <c r="P39" s="22"/>
      <c r="Q39" s="22"/>
      <c r="R39" s="22"/>
      <c r="S39" s="22"/>
      <c r="T39" s="22"/>
      <c r="U39" s="22"/>
      <c r="V39" s="22"/>
      <c r="W39" s="22"/>
      <c r="X39" s="22"/>
      <c r="Y39" s="22"/>
      <c r="Z39" s="22"/>
    </row>
    <row r="40" customFormat="false" ht="15" hidden="false" customHeight="true" outlineLevel="0" collapsed="false">
      <c r="A40" s="23" t="s">
        <v>184</v>
      </c>
      <c r="B40" s="5"/>
      <c r="C40" s="5"/>
      <c r="D40" s="5"/>
      <c r="E40" s="5"/>
      <c r="F40" s="5"/>
      <c r="G40" s="5"/>
      <c r="H40" s="5"/>
      <c r="I40" s="5"/>
      <c r="J40" s="5"/>
      <c r="K40" s="5"/>
      <c r="L40" s="5"/>
      <c r="M40" s="22"/>
      <c r="N40" s="22"/>
      <c r="O40" s="22"/>
      <c r="P40" s="22"/>
      <c r="Q40" s="22"/>
      <c r="R40" s="22"/>
      <c r="S40" s="22"/>
      <c r="T40" s="22"/>
      <c r="U40" s="22"/>
      <c r="V40" s="22"/>
      <c r="W40" s="22"/>
      <c r="X40" s="22"/>
      <c r="Y40" s="22"/>
      <c r="Z40" s="22"/>
    </row>
    <row r="41" customFormat="false" ht="15" hidden="false" customHeight="true" outlineLevel="0" collapsed="false">
      <c r="A41" s="7" t="s">
        <v>185</v>
      </c>
      <c r="B41" s="7" t="n">
        <f aca="false">IF(B12="YES",6,5)</f>
        <v>5</v>
      </c>
      <c r="C41" s="7" t="s">
        <v>186</v>
      </c>
      <c r="D41" s="5"/>
      <c r="E41" s="5"/>
      <c r="F41" s="5"/>
      <c r="G41" s="5"/>
      <c r="H41" s="5"/>
      <c r="I41" s="5"/>
      <c r="J41" s="5"/>
      <c r="K41" s="5"/>
      <c r="L41" s="5"/>
      <c r="M41" s="22"/>
      <c r="N41" s="22"/>
      <c r="O41" s="22"/>
      <c r="P41" s="22"/>
      <c r="Q41" s="22"/>
      <c r="R41" s="22"/>
      <c r="S41" s="22"/>
      <c r="T41" s="22"/>
      <c r="U41" s="22"/>
      <c r="V41" s="22"/>
      <c r="W41" s="22"/>
      <c r="X41" s="22"/>
      <c r="Y41" s="22"/>
      <c r="Z41" s="22"/>
    </row>
    <row r="42" customFormat="false" ht="15" hidden="false" customHeight="true" outlineLevel="0" collapsed="false">
      <c r="A42" s="7" t="s">
        <v>187</v>
      </c>
      <c r="B42" s="7" t="s">
        <v>188</v>
      </c>
      <c r="C42" s="5"/>
      <c r="D42" s="5"/>
      <c r="E42" s="5"/>
      <c r="F42" s="5"/>
      <c r="G42" s="5"/>
      <c r="H42" s="5"/>
      <c r="I42" s="5"/>
      <c r="J42" s="5"/>
      <c r="K42" s="5"/>
      <c r="L42" s="5"/>
      <c r="M42" s="22"/>
      <c r="N42" s="22"/>
      <c r="O42" s="22"/>
      <c r="P42" s="22"/>
      <c r="Q42" s="22"/>
      <c r="R42" s="22"/>
      <c r="S42" s="22"/>
      <c r="T42" s="22"/>
      <c r="U42" s="22"/>
      <c r="V42" s="22"/>
      <c r="W42" s="22"/>
      <c r="X42" s="22"/>
      <c r="Y42" s="22"/>
      <c r="Z42" s="22"/>
    </row>
    <row r="43" customFormat="false" ht="15" hidden="false" customHeight="true" outlineLevel="0" collapsed="false">
      <c r="A43" s="7" t="s">
        <v>189</v>
      </c>
      <c r="B43" s="7" t="s">
        <v>15</v>
      </c>
      <c r="C43" s="5"/>
      <c r="D43" s="5"/>
      <c r="E43" s="5"/>
      <c r="F43" s="5"/>
      <c r="G43" s="5"/>
      <c r="H43" s="5"/>
      <c r="I43" s="5"/>
      <c r="J43" s="5"/>
      <c r="K43" s="5"/>
      <c r="L43" s="5"/>
      <c r="M43" s="22"/>
      <c r="N43" s="22"/>
      <c r="O43" s="22"/>
      <c r="P43" s="22"/>
      <c r="Q43" s="22"/>
      <c r="R43" s="22"/>
      <c r="S43" s="22"/>
      <c r="T43" s="22"/>
      <c r="U43" s="22"/>
      <c r="V43" s="22"/>
      <c r="W43" s="22"/>
      <c r="X43" s="22"/>
      <c r="Y43" s="22"/>
      <c r="Z43" s="22"/>
    </row>
    <row r="44" customFormat="false" ht="15" hidden="false" customHeight="true" outlineLevel="0" collapsed="false">
      <c r="A44" s="7" t="s">
        <v>190</v>
      </c>
      <c r="B44" s="7" t="s">
        <v>15</v>
      </c>
      <c r="C44" s="5"/>
      <c r="D44" s="5"/>
      <c r="E44" s="5"/>
      <c r="F44" s="5"/>
      <c r="G44" s="5"/>
      <c r="H44" s="5"/>
      <c r="I44" s="5"/>
      <c r="J44" s="5"/>
      <c r="K44" s="5"/>
      <c r="L44" s="5"/>
      <c r="M44" s="22"/>
      <c r="N44" s="22"/>
      <c r="O44" s="22"/>
      <c r="P44" s="22"/>
      <c r="Q44" s="22"/>
      <c r="R44" s="22"/>
      <c r="S44" s="22"/>
      <c r="T44" s="22"/>
      <c r="U44" s="22"/>
      <c r="V44" s="22"/>
      <c r="W44" s="22"/>
      <c r="X44" s="22"/>
      <c r="Y44" s="22"/>
      <c r="Z44" s="22"/>
    </row>
    <row r="45" customFormat="false" ht="15" hidden="false" customHeight="true" outlineLevel="0" collapsed="false">
      <c r="A45" s="7" t="s">
        <v>191</v>
      </c>
      <c r="B45" s="7" t="s">
        <v>15</v>
      </c>
      <c r="C45" s="5"/>
      <c r="D45" s="5"/>
      <c r="E45" s="5"/>
      <c r="F45" s="5"/>
      <c r="G45" s="5"/>
      <c r="H45" s="5"/>
      <c r="I45" s="5"/>
      <c r="J45" s="5"/>
      <c r="K45" s="5"/>
      <c r="L45" s="5"/>
      <c r="M45" s="22"/>
      <c r="N45" s="22"/>
      <c r="O45" s="22"/>
      <c r="P45" s="22"/>
      <c r="Q45" s="22"/>
      <c r="R45" s="22"/>
      <c r="S45" s="22"/>
      <c r="T45" s="22"/>
      <c r="U45" s="22"/>
      <c r="V45" s="22"/>
      <c r="W45" s="22"/>
      <c r="X45" s="22"/>
      <c r="Y45" s="22"/>
      <c r="Z45" s="22"/>
    </row>
    <row r="46" customFormat="false" ht="15" hidden="false" customHeight="true" outlineLevel="0" collapsed="false">
      <c r="A46" s="7" t="s">
        <v>192</v>
      </c>
      <c r="B46" s="7" t="s">
        <v>15</v>
      </c>
      <c r="C46" s="5"/>
      <c r="D46" s="5"/>
      <c r="E46" s="5"/>
      <c r="F46" s="5"/>
      <c r="G46" s="5"/>
      <c r="H46" s="5"/>
      <c r="I46" s="5"/>
      <c r="J46" s="5"/>
      <c r="K46" s="5"/>
      <c r="L46" s="5"/>
      <c r="M46" s="22"/>
      <c r="N46" s="22"/>
      <c r="O46" s="22"/>
      <c r="P46" s="22"/>
      <c r="Q46" s="22"/>
      <c r="R46" s="22"/>
      <c r="S46" s="22"/>
      <c r="T46" s="22"/>
      <c r="U46" s="22"/>
      <c r="V46" s="22"/>
      <c r="W46" s="22"/>
      <c r="X46" s="22"/>
      <c r="Y46" s="22"/>
      <c r="Z46" s="22"/>
    </row>
    <row r="47" customFormat="false" ht="15" hidden="false" customHeight="true" outlineLevel="0" collapsed="false">
      <c r="A47" s="7" t="s">
        <v>193</v>
      </c>
      <c r="B47" s="7" t="s">
        <v>15</v>
      </c>
      <c r="C47" s="5"/>
      <c r="D47" s="5"/>
      <c r="E47" s="5"/>
      <c r="F47" s="5"/>
      <c r="G47" s="5"/>
      <c r="H47" s="5"/>
      <c r="I47" s="5"/>
      <c r="J47" s="5"/>
      <c r="K47" s="5"/>
      <c r="L47" s="5"/>
      <c r="M47" s="22"/>
      <c r="N47" s="22"/>
      <c r="O47" s="22"/>
      <c r="P47" s="22"/>
      <c r="Q47" s="22"/>
      <c r="R47" s="22"/>
      <c r="S47" s="22"/>
      <c r="T47" s="22"/>
      <c r="U47" s="22"/>
      <c r="V47" s="22"/>
      <c r="W47" s="22"/>
      <c r="X47" s="22"/>
      <c r="Y47" s="22"/>
      <c r="Z47" s="22"/>
    </row>
    <row r="48" customFormat="false" ht="15" hidden="false" customHeight="true" outlineLevel="0" collapsed="false">
      <c r="A48" s="7" t="s">
        <v>194</v>
      </c>
      <c r="B48" s="7" t="str">
        <f aca="false">IF($B$12="YES","YES","NO")</f>
        <v>NO</v>
      </c>
      <c r="C48" s="5"/>
      <c r="D48" s="5"/>
      <c r="E48" s="5"/>
      <c r="F48" s="5"/>
      <c r="G48" s="5"/>
      <c r="H48" s="5"/>
      <c r="I48" s="5"/>
      <c r="J48" s="5"/>
      <c r="K48" s="5"/>
      <c r="L48" s="5"/>
      <c r="M48" s="22"/>
      <c r="N48" s="22"/>
      <c r="O48" s="22"/>
      <c r="P48" s="22"/>
      <c r="Q48" s="22"/>
      <c r="R48" s="22"/>
      <c r="S48" s="22"/>
      <c r="T48" s="22"/>
      <c r="U48" s="22"/>
      <c r="V48" s="22"/>
      <c r="W48" s="22"/>
      <c r="X48" s="22"/>
      <c r="Y48" s="22"/>
      <c r="Z48" s="22"/>
    </row>
    <row r="49" customFormat="false" ht="13.5" hidden="false" customHeight="true" outlineLevel="0" collapsed="false">
      <c r="A49" s="5"/>
      <c r="B49" s="5"/>
      <c r="C49" s="5"/>
      <c r="D49" s="5"/>
      <c r="E49" s="5"/>
      <c r="F49" s="5"/>
      <c r="G49" s="5"/>
      <c r="H49" s="5"/>
      <c r="I49" s="5"/>
      <c r="J49" s="5"/>
      <c r="K49" s="5"/>
      <c r="L49" s="5"/>
      <c r="M49" s="22"/>
      <c r="N49" s="22"/>
      <c r="O49" s="22"/>
      <c r="P49" s="22"/>
      <c r="Q49" s="22"/>
      <c r="R49" s="22"/>
      <c r="S49" s="22"/>
      <c r="T49" s="22"/>
      <c r="U49" s="22"/>
      <c r="V49" s="22"/>
      <c r="W49" s="22"/>
      <c r="X49" s="22"/>
      <c r="Y49" s="22"/>
      <c r="Z49" s="22"/>
    </row>
    <row r="50" customFormat="false" ht="15" hidden="false" customHeight="true" outlineLevel="0" collapsed="false">
      <c r="A50" s="23" t="s">
        <v>195</v>
      </c>
      <c r="B50" s="5"/>
      <c r="C50" s="5"/>
      <c r="D50" s="5"/>
      <c r="E50" s="5"/>
      <c r="F50" s="5"/>
      <c r="G50" s="5"/>
      <c r="H50" s="5"/>
      <c r="I50" s="5"/>
      <c r="J50" s="5"/>
      <c r="K50" s="5"/>
      <c r="L50" s="5"/>
      <c r="M50" s="22"/>
      <c r="N50" s="22"/>
      <c r="O50" s="22"/>
      <c r="P50" s="22"/>
      <c r="Q50" s="22"/>
      <c r="R50" s="22"/>
      <c r="S50" s="22"/>
      <c r="T50" s="22"/>
      <c r="U50" s="22"/>
      <c r="V50" s="22"/>
      <c r="W50" s="22"/>
      <c r="X50" s="22"/>
      <c r="Y50" s="22"/>
      <c r="Z50" s="22"/>
    </row>
    <row r="51" customFormat="false" ht="15" hidden="false" customHeight="true" outlineLevel="0" collapsed="false">
      <c r="A51" s="7" t="s">
        <v>196</v>
      </c>
      <c r="B51" s="7" t="str">
        <f aca="false">NCRC!D18</f>
        <v>PASS</v>
      </c>
      <c r="C51" s="5"/>
      <c r="D51" s="5"/>
      <c r="E51" s="5"/>
      <c r="F51" s="5"/>
      <c r="G51" s="5"/>
      <c r="H51" s="5"/>
      <c r="I51" s="5"/>
      <c r="J51" s="5"/>
      <c r="K51" s="5"/>
      <c r="L51" s="5"/>
      <c r="M51" s="22"/>
      <c r="N51" s="22"/>
      <c r="O51" s="22"/>
      <c r="P51" s="22"/>
      <c r="Q51" s="22"/>
      <c r="R51" s="22"/>
      <c r="S51" s="22"/>
      <c r="T51" s="22"/>
      <c r="U51" s="22"/>
      <c r="V51" s="22"/>
      <c r="W51" s="22"/>
      <c r="X51" s="22"/>
      <c r="Y51" s="22"/>
      <c r="Z51" s="22"/>
    </row>
    <row r="52" customFormat="false" ht="15" hidden="false" customHeight="true" outlineLevel="0" collapsed="false">
      <c r="A52" s="7" t="s">
        <v>197</v>
      </c>
      <c r="B52" s="7" t="str">
        <f aca="false">NCRC!D19</f>
        <v>PASS</v>
      </c>
      <c r="C52" s="5"/>
      <c r="D52" s="5"/>
      <c r="E52" s="5"/>
      <c r="F52" s="5"/>
      <c r="G52" s="5"/>
      <c r="H52" s="5"/>
      <c r="I52" s="5"/>
      <c r="J52" s="5"/>
      <c r="K52" s="5"/>
      <c r="L52" s="5"/>
      <c r="M52" s="22"/>
      <c r="N52" s="22"/>
      <c r="O52" s="22"/>
      <c r="P52" s="22"/>
      <c r="Q52" s="22"/>
      <c r="R52" s="22"/>
      <c r="S52" s="22"/>
      <c r="T52" s="22"/>
      <c r="U52" s="22"/>
      <c r="V52" s="22"/>
      <c r="W52" s="22"/>
      <c r="X52" s="22"/>
      <c r="Y52" s="22"/>
      <c r="Z52" s="22"/>
    </row>
    <row r="53" customFormat="false" ht="13.5" hidden="false" customHeight="true" outlineLevel="0" collapsed="false">
      <c r="A53" s="5"/>
      <c r="B53" s="5"/>
      <c r="C53" s="5"/>
      <c r="D53" s="5"/>
      <c r="E53" s="5"/>
      <c r="F53" s="5"/>
      <c r="G53" s="5"/>
      <c r="H53" s="5"/>
      <c r="I53" s="5"/>
      <c r="J53" s="5"/>
      <c r="K53" s="5"/>
      <c r="L53" s="5"/>
      <c r="M53" s="22"/>
      <c r="N53" s="22"/>
      <c r="O53" s="22"/>
      <c r="P53" s="22"/>
      <c r="Q53" s="22"/>
      <c r="R53" s="22"/>
      <c r="S53" s="22"/>
      <c r="T53" s="22"/>
      <c r="U53" s="22"/>
      <c r="V53" s="22"/>
      <c r="W53" s="22"/>
      <c r="X53" s="22"/>
      <c r="Y53" s="22"/>
      <c r="Z53" s="22"/>
    </row>
    <row r="54" customFormat="false" ht="15" hidden="false" customHeight="true" outlineLevel="0" collapsed="false">
      <c r="A54" s="7" t="s">
        <v>198</v>
      </c>
      <c r="B54" s="7" t="n">
        <v>0.0219</v>
      </c>
      <c r="C54" s="5"/>
      <c r="D54" s="5"/>
      <c r="E54" s="5"/>
      <c r="F54" s="5"/>
      <c r="G54" s="5"/>
      <c r="H54" s="5"/>
      <c r="I54" s="5"/>
      <c r="J54" s="5"/>
      <c r="K54" s="5"/>
      <c r="L54" s="5"/>
      <c r="M54" s="22"/>
      <c r="N54" s="22"/>
      <c r="O54" s="22"/>
      <c r="P54" s="22"/>
      <c r="Q54" s="22"/>
      <c r="R54" s="22"/>
      <c r="S54" s="22"/>
      <c r="T54" s="22"/>
      <c r="U54" s="22"/>
      <c r="V54" s="22"/>
      <c r="W54" s="22"/>
      <c r="X54" s="22"/>
      <c r="Y54" s="22"/>
      <c r="Z54" s="22"/>
    </row>
    <row r="55" customFormat="false" ht="15" hidden="false" customHeight="true" outlineLevel="0" collapsed="false">
      <c r="A55" s="7" t="s">
        <v>199</v>
      </c>
      <c r="B55" s="7" t="n">
        <v>0.0315</v>
      </c>
      <c r="C55" s="5"/>
      <c r="D55" s="5"/>
      <c r="E55" s="5"/>
      <c r="F55" s="5"/>
      <c r="G55" s="5"/>
      <c r="H55" s="5"/>
      <c r="I55" s="5"/>
      <c r="J55" s="5"/>
      <c r="K55" s="5"/>
      <c r="L55" s="5"/>
      <c r="M55" s="22"/>
      <c r="N55" s="22"/>
      <c r="O55" s="22"/>
      <c r="P55" s="22"/>
      <c r="Q55" s="22"/>
      <c r="R55" s="22"/>
      <c r="S55" s="22"/>
      <c r="T55" s="22"/>
      <c r="U55" s="22"/>
      <c r="V55" s="22"/>
      <c r="W55" s="22"/>
      <c r="X55" s="22"/>
      <c r="Y55" s="22"/>
      <c r="Z55" s="22"/>
    </row>
    <row r="56" customFormat="false" ht="15" hidden="false" customHeight="true" outlineLevel="0" collapsed="false">
      <c r="A56" s="7" t="s">
        <v>200</v>
      </c>
      <c r="B56" s="7" t="str">
        <f aca="false">IF(B54&lt;=B58,"PASS","FAIL")</f>
        <v>PASS</v>
      </c>
      <c r="C56" s="5"/>
      <c r="D56" s="5"/>
      <c r="E56" s="5"/>
      <c r="F56" s="5"/>
      <c r="G56" s="5"/>
      <c r="H56" s="5"/>
      <c r="I56" s="5"/>
      <c r="J56" s="5"/>
      <c r="K56" s="5"/>
      <c r="L56" s="5"/>
      <c r="M56" s="22"/>
      <c r="N56" s="22"/>
      <c r="O56" s="22"/>
      <c r="P56" s="22"/>
      <c r="Q56" s="22"/>
      <c r="R56" s="22"/>
      <c r="S56" s="22"/>
      <c r="T56" s="22"/>
      <c r="U56" s="22"/>
      <c r="V56" s="22"/>
      <c r="W56" s="22"/>
      <c r="X56" s="22"/>
      <c r="Y56" s="22"/>
      <c r="Z56" s="22"/>
    </row>
    <row r="57" customFormat="false" ht="15" hidden="false" customHeight="true" outlineLevel="0" collapsed="false">
      <c r="A57" s="7" t="s">
        <v>201</v>
      </c>
      <c r="B57" s="7" t="str">
        <f aca="false">IF(B55&lt;=B58,"PASS","FAIL")</f>
        <v>PASS</v>
      </c>
      <c r="C57" s="5"/>
      <c r="D57" s="5"/>
      <c r="E57" s="5"/>
      <c r="F57" s="5"/>
      <c r="G57" s="5"/>
      <c r="H57" s="5"/>
      <c r="I57" s="5"/>
      <c r="J57" s="5"/>
      <c r="K57" s="5"/>
      <c r="L57" s="5"/>
      <c r="M57" s="22"/>
      <c r="N57" s="22"/>
      <c r="O57" s="22"/>
      <c r="P57" s="22"/>
      <c r="Q57" s="22"/>
      <c r="R57" s="22"/>
      <c r="S57" s="22"/>
      <c r="T57" s="22"/>
      <c r="U57" s="22"/>
      <c r="V57" s="22"/>
      <c r="W57" s="22"/>
      <c r="X57" s="22"/>
      <c r="Y57" s="22"/>
      <c r="Z57" s="22"/>
    </row>
    <row r="58" customFormat="false" ht="15" hidden="false" customHeight="true" outlineLevel="0" collapsed="false">
      <c r="A58" s="7" t="s">
        <v>202</v>
      </c>
      <c r="B58" s="7" t="n">
        <v>0.2</v>
      </c>
      <c r="C58" s="7" t="s">
        <v>203</v>
      </c>
      <c r="D58" s="5"/>
      <c r="E58" s="5"/>
      <c r="F58" s="5"/>
      <c r="G58" s="5"/>
      <c r="H58" s="5"/>
      <c r="I58" s="5"/>
      <c r="J58" s="5"/>
      <c r="K58" s="5"/>
      <c r="L58" s="5"/>
      <c r="M58" s="22"/>
      <c r="N58" s="22"/>
      <c r="O58" s="22"/>
      <c r="P58" s="22"/>
      <c r="Q58" s="22"/>
      <c r="R58" s="22"/>
      <c r="S58" s="22"/>
      <c r="T58" s="22"/>
      <c r="U58" s="22"/>
      <c r="V58" s="22"/>
      <c r="W58" s="22"/>
      <c r="X58" s="22"/>
      <c r="Y58" s="22"/>
      <c r="Z58" s="22"/>
    </row>
    <row r="59" customFormat="false" ht="13.5" hidden="false" customHeight="true" outlineLevel="0" collapsed="false">
      <c r="A59" s="7" t="s">
        <v>204</v>
      </c>
      <c r="B59" s="7" t="str">
        <f aca="false">IF(ABS(B63-B64)/SQRT(2*B26^2+0.000001)&lt;B22,"NO","YES")</f>
        <v>NO</v>
      </c>
      <c r="C59" s="5"/>
      <c r="D59" s="5"/>
      <c r="E59" s="5"/>
      <c r="F59" s="5"/>
      <c r="G59" s="5"/>
      <c r="H59" s="5"/>
      <c r="I59" s="5"/>
      <c r="J59" s="5"/>
      <c r="K59" s="5"/>
      <c r="L59" s="5"/>
      <c r="M59" s="22"/>
      <c r="N59" s="22"/>
      <c r="O59" s="22"/>
      <c r="P59" s="22"/>
      <c r="Q59" s="22"/>
      <c r="R59" s="22"/>
      <c r="S59" s="22"/>
      <c r="T59" s="22"/>
      <c r="U59" s="22"/>
      <c r="V59" s="22"/>
      <c r="W59" s="22"/>
      <c r="X59" s="22"/>
      <c r="Y59" s="22"/>
      <c r="Z59" s="22"/>
    </row>
    <row r="60" customFormat="false" ht="15" hidden="false" customHeight="true" outlineLevel="0" collapsed="false">
      <c r="A60" s="7" t="s">
        <v>205</v>
      </c>
      <c r="B60" s="7" t="str">
        <f aca="false">Containment!K14</f>
        <v>PASS</v>
      </c>
      <c r="C60" s="5"/>
      <c r="D60" s="5"/>
      <c r="E60" s="5"/>
      <c r="F60" s="5"/>
      <c r="G60" s="5"/>
      <c r="H60" s="5"/>
      <c r="I60" s="5"/>
      <c r="J60" s="5"/>
      <c r="K60" s="5"/>
      <c r="L60" s="5"/>
      <c r="M60" s="22"/>
      <c r="N60" s="22"/>
      <c r="O60" s="22"/>
      <c r="P60" s="22"/>
      <c r="Q60" s="22"/>
      <c r="R60" s="22"/>
      <c r="S60" s="22"/>
      <c r="T60" s="22"/>
      <c r="U60" s="22"/>
      <c r="V60" s="22"/>
      <c r="W60" s="22"/>
      <c r="X60" s="22"/>
      <c r="Y60" s="22"/>
      <c r="Z60" s="22"/>
    </row>
    <row r="61" customFormat="false" ht="15" hidden="false" customHeight="true" outlineLevel="0" collapsed="false">
      <c r="A61" s="7" t="s">
        <v>206</v>
      </c>
      <c r="B61" s="7" t="str">
        <f aca="false">Containment!K15</f>
        <v>PASS (vacuous)</v>
      </c>
      <c r="C61" s="5"/>
      <c r="D61" s="5"/>
      <c r="E61" s="5"/>
      <c r="F61" s="5"/>
      <c r="G61" s="5"/>
      <c r="H61" s="5"/>
      <c r="I61" s="5"/>
      <c r="J61" s="5"/>
      <c r="K61" s="5"/>
      <c r="L61" s="5"/>
      <c r="M61" s="22"/>
      <c r="N61" s="22"/>
      <c r="O61" s="22"/>
      <c r="P61" s="22"/>
      <c r="Q61" s="22"/>
      <c r="R61" s="22"/>
      <c r="S61" s="22"/>
      <c r="T61" s="22"/>
      <c r="U61" s="22"/>
      <c r="V61" s="22"/>
      <c r="W61" s="22"/>
      <c r="X61" s="22"/>
      <c r="Y61" s="22"/>
      <c r="Z61" s="22"/>
    </row>
    <row r="62" customFormat="false" ht="13.5" hidden="false" customHeight="true" outlineLevel="0" collapsed="false">
      <c r="A62" s="5"/>
      <c r="B62" s="5"/>
      <c r="C62" s="5"/>
      <c r="D62" s="5"/>
      <c r="E62" s="5"/>
      <c r="F62" s="5"/>
      <c r="G62" s="5"/>
      <c r="H62" s="5"/>
      <c r="I62" s="5"/>
      <c r="J62" s="5"/>
      <c r="K62" s="5"/>
      <c r="L62" s="5"/>
      <c r="M62" s="22"/>
      <c r="N62" s="22"/>
      <c r="O62" s="22"/>
      <c r="P62" s="22"/>
      <c r="Q62" s="22"/>
      <c r="R62" s="22"/>
      <c r="S62" s="22"/>
      <c r="T62" s="22"/>
      <c r="U62" s="22"/>
      <c r="V62" s="22"/>
      <c r="W62" s="22"/>
      <c r="X62" s="22"/>
      <c r="Y62" s="22"/>
      <c r="Z62" s="22"/>
    </row>
    <row r="63" customFormat="false" ht="15" hidden="false" customHeight="true" outlineLevel="0" collapsed="false">
      <c r="A63" s="7" t="s">
        <v>207</v>
      </c>
      <c r="B63" s="24" t="n">
        <f aca="false">RLS!B5</f>
        <v>0.0153129427168233</v>
      </c>
      <c r="C63" s="5"/>
      <c r="D63" s="5"/>
      <c r="E63" s="5"/>
      <c r="F63" s="5"/>
      <c r="G63" s="5"/>
      <c r="H63" s="5"/>
      <c r="I63" s="5"/>
      <c r="J63" s="5"/>
      <c r="K63" s="5"/>
      <c r="L63" s="5"/>
      <c r="M63" s="22"/>
      <c r="N63" s="22"/>
      <c r="O63" s="22"/>
      <c r="P63" s="22"/>
      <c r="Q63" s="22"/>
      <c r="R63" s="22"/>
      <c r="S63" s="22"/>
      <c r="T63" s="22"/>
      <c r="U63" s="22"/>
      <c r="V63" s="22"/>
      <c r="W63" s="22"/>
      <c r="X63" s="22"/>
      <c r="Y63" s="22"/>
      <c r="Z63" s="22"/>
    </row>
    <row r="64" customFormat="false" ht="15" hidden="false" customHeight="true" outlineLevel="0" collapsed="false">
      <c r="A64" s="7" t="s">
        <v>208</v>
      </c>
      <c r="B64" s="24" t="n">
        <f aca="false">RLS!B6</f>
        <v>-0.00112238738505248</v>
      </c>
      <c r="C64" s="5"/>
      <c r="D64" s="5"/>
      <c r="E64" s="5"/>
      <c r="F64" s="5"/>
      <c r="G64" s="5"/>
      <c r="H64" s="5"/>
      <c r="I64" s="5"/>
      <c r="J64" s="5"/>
      <c r="K64" s="5"/>
      <c r="L64" s="5"/>
      <c r="M64" s="22"/>
      <c r="N64" s="22"/>
      <c r="O64" s="22"/>
      <c r="P64" s="22"/>
      <c r="Q64" s="22"/>
      <c r="R64" s="22"/>
      <c r="S64" s="22"/>
      <c r="T64" s="22"/>
      <c r="U64" s="22"/>
      <c r="V64" s="22"/>
      <c r="W64" s="22"/>
      <c r="X64" s="22"/>
      <c r="Y64" s="22"/>
      <c r="Z64" s="22"/>
    </row>
    <row r="65" customFormat="false" ht="13.5" hidden="false" customHeight="true" outlineLevel="0" collapsed="false">
      <c r="A65" s="5"/>
      <c r="B65" s="5"/>
      <c r="C65" s="5"/>
      <c r="D65" s="5"/>
      <c r="E65" s="5"/>
      <c r="F65" s="5"/>
      <c r="G65" s="5"/>
      <c r="H65" s="5"/>
      <c r="I65" s="5"/>
      <c r="J65" s="5"/>
      <c r="K65" s="5"/>
      <c r="L65" s="5"/>
      <c r="M65" s="22"/>
      <c r="N65" s="22"/>
      <c r="O65" s="22"/>
      <c r="P65" s="22"/>
      <c r="Q65" s="22"/>
      <c r="R65" s="22"/>
      <c r="S65" s="22"/>
      <c r="T65" s="22"/>
      <c r="U65" s="22"/>
      <c r="V65" s="22"/>
      <c r="W65" s="22"/>
      <c r="X65" s="22"/>
      <c r="Y65" s="22"/>
      <c r="Z65" s="22"/>
    </row>
    <row r="66" customFormat="false" ht="15" hidden="false" customHeight="true" outlineLevel="0" collapsed="false">
      <c r="A66" s="23" t="s">
        <v>209</v>
      </c>
      <c r="B66" s="5"/>
      <c r="C66" s="5"/>
      <c r="D66" s="5"/>
      <c r="E66" s="5"/>
      <c r="F66" s="5"/>
      <c r="G66" s="5"/>
      <c r="H66" s="5"/>
      <c r="I66" s="5"/>
      <c r="J66" s="5"/>
      <c r="K66" s="5"/>
      <c r="L66" s="5"/>
      <c r="M66" s="22"/>
      <c r="N66" s="22"/>
      <c r="O66" s="22"/>
      <c r="P66" s="22"/>
      <c r="Q66" s="22"/>
      <c r="R66" s="22"/>
      <c r="S66" s="22"/>
      <c r="T66" s="22"/>
      <c r="U66" s="22"/>
      <c r="V66" s="22"/>
      <c r="W66" s="22"/>
      <c r="X66" s="22"/>
      <c r="Y66" s="22"/>
      <c r="Z66" s="22"/>
    </row>
    <row r="67" customFormat="false" ht="15" hidden="false" customHeight="true" outlineLevel="0" collapsed="false">
      <c r="A67" s="7" t="s">
        <v>210</v>
      </c>
      <c r="B67" s="7" t="n">
        <f aca="false">COUNTIF(B51:B52,"PASS")</f>
        <v>2</v>
      </c>
      <c r="C67" s="7" t="s">
        <v>211</v>
      </c>
      <c r="D67" s="5"/>
      <c r="E67" s="5"/>
      <c r="F67" s="5"/>
      <c r="G67" s="5"/>
      <c r="H67" s="5"/>
      <c r="I67" s="5"/>
      <c r="J67" s="5"/>
      <c r="K67" s="5"/>
      <c r="L67" s="5"/>
      <c r="M67" s="22"/>
      <c r="N67" s="22"/>
      <c r="O67" s="22"/>
      <c r="P67" s="22"/>
      <c r="Q67" s="22"/>
      <c r="R67" s="22"/>
      <c r="S67" s="22"/>
      <c r="T67" s="22"/>
      <c r="U67" s="22"/>
      <c r="V67" s="22"/>
      <c r="W67" s="22"/>
      <c r="X67" s="22"/>
      <c r="Y67" s="22"/>
      <c r="Z67" s="22"/>
    </row>
    <row r="68" customFormat="false" ht="15" hidden="false" customHeight="true" outlineLevel="0" collapsed="false">
      <c r="A68" s="7" t="s">
        <v>212</v>
      </c>
      <c r="B68" s="7" t="n">
        <f aca="false">COUNTIFS(B51:B52,"PASS",B56:B57,"PASS")</f>
        <v>2</v>
      </c>
      <c r="C68" s="7" t="s">
        <v>213</v>
      </c>
      <c r="D68" s="5"/>
      <c r="E68" s="5"/>
      <c r="F68" s="5"/>
      <c r="G68" s="5"/>
      <c r="H68" s="5"/>
      <c r="I68" s="5"/>
      <c r="J68" s="5"/>
      <c r="K68" s="5"/>
      <c r="L68" s="5"/>
      <c r="M68" s="22"/>
      <c r="N68" s="22"/>
      <c r="O68" s="22"/>
      <c r="P68" s="22"/>
      <c r="Q68" s="22"/>
      <c r="R68" s="22"/>
      <c r="S68" s="22"/>
      <c r="T68" s="22"/>
      <c r="U68" s="22"/>
      <c r="V68" s="22"/>
      <c r="W68" s="22"/>
      <c r="X68" s="22"/>
      <c r="Y68" s="22"/>
      <c r="Z68" s="22"/>
    </row>
    <row r="69" customFormat="false" ht="13.5" hidden="false" customHeight="true" outlineLevel="0" collapsed="false">
      <c r="A69" s="5"/>
      <c r="B69" s="5"/>
      <c r="C69" s="5"/>
      <c r="D69" s="5"/>
      <c r="E69" s="5"/>
      <c r="F69" s="5"/>
      <c r="G69" s="5"/>
      <c r="H69" s="5"/>
      <c r="I69" s="5"/>
      <c r="J69" s="5"/>
      <c r="K69" s="5"/>
      <c r="L69" s="5"/>
      <c r="M69" s="22"/>
      <c r="N69" s="22"/>
      <c r="O69" s="22"/>
      <c r="P69" s="22"/>
      <c r="Q69" s="22"/>
      <c r="R69" s="22"/>
      <c r="S69" s="22"/>
      <c r="T69" s="22"/>
      <c r="U69" s="22"/>
      <c r="V69" s="22"/>
      <c r="W69" s="22"/>
      <c r="X69" s="22"/>
      <c r="Y69" s="22"/>
      <c r="Z69" s="22"/>
    </row>
    <row r="70" customFormat="false" ht="15" hidden="false" customHeight="true" outlineLevel="0" collapsed="false">
      <c r="A70" s="7" t="s">
        <v>214</v>
      </c>
      <c r="B70" s="7" t="s">
        <v>215</v>
      </c>
      <c r="C70" s="5" t="s">
        <v>216</v>
      </c>
      <c r="D70" s="5"/>
      <c r="E70" s="5"/>
      <c r="F70" s="5"/>
      <c r="G70" s="5"/>
      <c r="H70" s="5"/>
      <c r="I70" s="5"/>
      <c r="J70" s="5"/>
      <c r="K70" s="5"/>
      <c r="L70" s="5"/>
      <c r="M70" s="22"/>
      <c r="N70" s="22"/>
      <c r="O70" s="22"/>
      <c r="P70" s="22"/>
      <c r="Q70" s="22"/>
      <c r="R70" s="22"/>
      <c r="S70" s="22"/>
      <c r="T70" s="22"/>
      <c r="U70" s="22"/>
      <c r="V70" s="22"/>
      <c r="W70" s="22"/>
      <c r="X70" s="22"/>
      <c r="Y70" s="22"/>
      <c r="Z70" s="22"/>
    </row>
    <row r="71" customFormat="false" ht="15" hidden="false" customHeight="true" outlineLevel="0" collapsed="false">
      <c r="A71" s="7" t="s">
        <v>217</v>
      </c>
      <c r="B71" s="7" t="str">
        <f aca="false">IF(B70="EMERGENCY_MODE","",IF(B70="TRC_FALLBACK",IF(B54&lt;=B55,"A","B"),IF(AND(B51="PASS",B56="PASS",OR(B52&lt;&gt;"PASS",B57&lt;&gt;"PASS")),"A",IF(AND(B52="PASS",B57="PASS",OR(B51&lt;&gt;"PASS",B56&lt;&gt;"PASS")),"B",IF(B63&gt;B64,"A",IF(B64&gt;B63,"B","TIE"))))))</f>
        <v>A</v>
      </c>
      <c r="C71" s="5" t="s">
        <v>218</v>
      </c>
      <c r="D71" s="5"/>
      <c r="E71" s="5"/>
      <c r="F71" s="5"/>
      <c r="G71" s="5"/>
      <c r="H71" s="5"/>
      <c r="I71" s="5"/>
      <c r="J71" s="5"/>
      <c r="K71" s="5"/>
      <c r="L71" s="5"/>
      <c r="M71" s="22"/>
      <c r="N71" s="22"/>
      <c r="O71" s="22"/>
      <c r="P71" s="22"/>
      <c r="Q71" s="22"/>
      <c r="R71" s="22"/>
      <c r="S71" s="22"/>
      <c r="T71" s="22"/>
      <c r="U71" s="22"/>
      <c r="V71" s="22"/>
      <c r="W71" s="22"/>
      <c r="X71" s="22"/>
      <c r="Y71" s="22"/>
      <c r="Z71" s="22"/>
    </row>
    <row r="72" customFormat="false" ht="15" hidden="false" customHeight="true" outlineLevel="0" collapsed="false">
      <c r="A72" s="7" t="s">
        <v>219</v>
      </c>
      <c r="B72" s="7" t="str">
        <f aca="false">IF(B70="EMERGENCY_MODE","No rights-admissible options",IF(B70="TRC_FALLBACK","Min CVaR (TRC fallback)",IF(B59="NO",IF(B63&gt;B64,"Non-decisive RLS lead; judgment call documented",IF(B64&gt;B63,"Non-decisive RLS lead; judgment call documented","RLS tie - requires UCI")),IF(B71="TIE","RLS tie - requires UCI","RLS comparison"))))</f>
        <v>Non-decisive RLS lead; judgment call documented</v>
      </c>
      <c r="C72" s="5" t="s">
        <v>220</v>
      </c>
      <c r="D72" s="5"/>
      <c r="E72" s="5"/>
      <c r="F72" s="5"/>
      <c r="G72" s="5"/>
      <c r="H72" s="5"/>
      <c r="I72" s="5"/>
      <c r="J72" s="5"/>
      <c r="K72" s="5"/>
      <c r="L72" s="5"/>
      <c r="M72" s="22"/>
      <c r="N72" s="22"/>
      <c r="O72" s="22"/>
      <c r="P72" s="22"/>
      <c r="Q72" s="22"/>
      <c r="R72" s="22"/>
      <c r="S72" s="22"/>
      <c r="T72" s="22"/>
      <c r="U72" s="22"/>
      <c r="V72" s="22"/>
      <c r="W72" s="22"/>
      <c r="X72" s="22"/>
      <c r="Y72" s="22"/>
      <c r="Z72" s="22"/>
    </row>
    <row r="73" customFormat="false" ht="15" hidden="false" customHeight="true" outlineLevel="0" collapsed="false">
      <c r="A73" s="7" t="s">
        <v>221</v>
      </c>
      <c r="B73" s="7" t="str">
        <f aca="false">IF(OR(B70="EMERGENCY_MODE",B70="TRC_FALLBACK"),"YES","NO")</f>
        <v>NO</v>
      </c>
      <c r="C73" s="5"/>
      <c r="D73" s="5"/>
      <c r="E73" s="5"/>
      <c r="F73" s="5"/>
      <c r="G73" s="5"/>
      <c r="H73" s="5"/>
      <c r="I73" s="5"/>
      <c r="J73" s="5"/>
      <c r="K73" s="5"/>
      <c r="L73" s="5"/>
      <c r="M73" s="22"/>
      <c r="N73" s="22"/>
      <c r="O73" s="22"/>
      <c r="P73" s="22"/>
      <c r="Q73" s="22"/>
      <c r="R73" s="22"/>
      <c r="S73" s="22"/>
      <c r="T73" s="22"/>
      <c r="U73" s="22"/>
      <c r="V73" s="22"/>
      <c r="W73" s="22"/>
      <c r="X73" s="22"/>
      <c r="Y73" s="22"/>
      <c r="Z73" s="22"/>
    </row>
    <row r="74" customFormat="false" ht="13.5" hidden="false" customHeight="true" outlineLevel="0" collapsed="false">
      <c r="A74" s="5"/>
      <c r="B74" s="5"/>
      <c r="C74" s="5"/>
      <c r="D74" s="5"/>
      <c r="E74" s="5"/>
      <c r="F74" s="5"/>
      <c r="G74" s="5"/>
      <c r="H74" s="5"/>
      <c r="I74" s="5"/>
      <c r="J74" s="5"/>
      <c r="K74" s="5"/>
      <c r="L74" s="5"/>
      <c r="M74" s="22"/>
      <c r="N74" s="22"/>
      <c r="O74" s="22"/>
      <c r="P74" s="22"/>
      <c r="Q74" s="22"/>
      <c r="R74" s="22"/>
      <c r="S74" s="22"/>
      <c r="T74" s="22"/>
      <c r="U74" s="22"/>
      <c r="V74" s="22"/>
      <c r="W74" s="22"/>
      <c r="X74" s="22"/>
      <c r="Y74" s="22"/>
      <c r="Z74" s="22"/>
    </row>
    <row r="75" customFormat="false" ht="15" hidden="false" customHeight="true" outlineLevel="0" collapsed="false">
      <c r="A75" s="23" t="s">
        <v>222</v>
      </c>
      <c r="B75" s="5"/>
      <c r="C75" s="5"/>
      <c r="D75" s="5"/>
      <c r="E75" s="5"/>
      <c r="F75" s="5"/>
      <c r="G75" s="5"/>
      <c r="H75" s="5"/>
      <c r="I75" s="5"/>
      <c r="J75" s="5"/>
      <c r="K75" s="5"/>
      <c r="L75" s="5"/>
      <c r="M75" s="22"/>
      <c r="N75" s="22"/>
      <c r="O75" s="22"/>
      <c r="P75" s="22"/>
      <c r="Q75" s="22"/>
      <c r="R75" s="22"/>
      <c r="S75" s="22"/>
      <c r="T75" s="22"/>
      <c r="U75" s="22"/>
      <c r="V75" s="22"/>
      <c r="W75" s="22"/>
      <c r="X75" s="22"/>
      <c r="Y75" s="22"/>
      <c r="Z75" s="22"/>
    </row>
    <row r="76" customFormat="false" ht="15" hidden="false" customHeight="true" outlineLevel="0" collapsed="false">
      <c r="A76" s="7" t="s">
        <v>223</v>
      </c>
      <c r="B76" s="7" t="n">
        <v>0</v>
      </c>
      <c r="C76" s="7" t="s">
        <v>224</v>
      </c>
      <c r="D76" s="5"/>
      <c r="E76" s="5"/>
      <c r="F76" s="5"/>
      <c r="G76" s="5"/>
      <c r="H76" s="5"/>
      <c r="I76" s="5"/>
      <c r="J76" s="5"/>
      <c r="K76" s="5"/>
      <c r="L76" s="5"/>
      <c r="M76" s="22"/>
      <c r="N76" s="22"/>
      <c r="O76" s="22"/>
      <c r="P76" s="22"/>
      <c r="Q76" s="22"/>
      <c r="R76" s="22"/>
      <c r="S76" s="22"/>
      <c r="T76" s="22"/>
      <c r="U76" s="22"/>
      <c r="V76" s="22"/>
      <c r="W76" s="22"/>
      <c r="X76" s="22"/>
      <c r="Y76" s="22"/>
      <c r="Z76" s="22"/>
    </row>
    <row r="77" customFormat="false" ht="15" hidden="false" customHeight="true" outlineLevel="0" collapsed="false">
      <c r="A77" s="7" t="s">
        <v>225</v>
      </c>
      <c r="B77" s="7" t="n">
        <v>0</v>
      </c>
      <c r="C77" s="5"/>
      <c r="D77" s="5"/>
      <c r="E77" s="5"/>
      <c r="F77" s="5"/>
      <c r="G77" s="5"/>
      <c r="H77" s="5"/>
      <c r="I77" s="5"/>
      <c r="J77" s="5"/>
      <c r="K77" s="5"/>
      <c r="L77" s="5"/>
      <c r="M77" s="22"/>
      <c r="N77" s="22"/>
      <c r="O77" s="22"/>
      <c r="P77" s="22"/>
      <c r="Q77" s="22"/>
      <c r="R77" s="22"/>
      <c r="S77" s="22"/>
      <c r="T77" s="22"/>
      <c r="U77" s="22"/>
      <c r="V77" s="22"/>
      <c r="W77" s="22"/>
      <c r="X77" s="22"/>
      <c r="Y77" s="22"/>
      <c r="Z77" s="22"/>
    </row>
    <row r="78" customFormat="false" ht="13.5" hidden="false" customHeight="true" outlineLevel="0" collapsed="false">
      <c r="A78" s="5"/>
      <c r="B78" s="5"/>
      <c r="C78" s="5"/>
      <c r="D78" s="5"/>
      <c r="E78" s="5"/>
      <c r="F78" s="5"/>
      <c r="G78" s="5"/>
      <c r="H78" s="5"/>
      <c r="I78" s="5"/>
      <c r="J78" s="5"/>
      <c r="K78" s="5"/>
      <c r="L78" s="5"/>
      <c r="M78" s="22"/>
      <c r="N78" s="22"/>
      <c r="O78" s="22"/>
      <c r="P78" s="22"/>
      <c r="Q78" s="22"/>
      <c r="R78" s="22"/>
      <c r="S78" s="22"/>
      <c r="T78" s="22"/>
      <c r="U78" s="22"/>
      <c r="V78" s="22"/>
      <c r="W78" s="22"/>
      <c r="X78" s="22"/>
      <c r="Y78" s="22"/>
      <c r="Z78" s="22"/>
    </row>
    <row r="79" customFormat="false" ht="15" hidden="false" customHeight="true" outlineLevel="0" collapsed="false">
      <c r="A79" s="23" t="s">
        <v>226</v>
      </c>
      <c r="B79" s="5"/>
      <c r="C79" s="5"/>
      <c r="D79" s="5"/>
      <c r="E79" s="5"/>
      <c r="F79" s="5"/>
      <c r="G79" s="5"/>
      <c r="H79" s="5"/>
      <c r="I79" s="5"/>
      <c r="J79" s="5"/>
      <c r="K79" s="5"/>
      <c r="L79" s="5"/>
      <c r="M79" s="22"/>
      <c r="N79" s="22"/>
      <c r="O79" s="22"/>
      <c r="P79" s="22"/>
      <c r="Q79" s="22"/>
      <c r="R79" s="22"/>
      <c r="S79" s="22"/>
      <c r="T79" s="22"/>
      <c r="U79" s="22"/>
      <c r="V79" s="22"/>
      <c r="W79" s="22"/>
      <c r="X79" s="22"/>
      <c r="Y79" s="22"/>
      <c r="Z79" s="22"/>
    </row>
    <row r="80" customFormat="false" ht="15" hidden="false" customHeight="true" outlineLevel="0" collapsed="false">
      <c r="A80" s="7" t="s">
        <v>227</v>
      </c>
      <c r="B80" s="25" t="n">
        <v>0</v>
      </c>
      <c r="C80" s="7" t="s">
        <v>228</v>
      </c>
      <c r="D80" s="5"/>
      <c r="E80" s="5"/>
      <c r="F80" s="5"/>
      <c r="G80" s="5"/>
      <c r="H80" s="5"/>
      <c r="I80" s="5"/>
      <c r="J80" s="5"/>
      <c r="K80" s="5"/>
      <c r="L80" s="5"/>
      <c r="M80" s="22"/>
      <c r="N80" s="22"/>
      <c r="O80" s="22"/>
      <c r="P80" s="22"/>
      <c r="Q80" s="22"/>
      <c r="R80" s="22"/>
      <c r="S80" s="22"/>
      <c r="T80" s="22"/>
      <c r="U80" s="22"/>
      <c r="V80" s="22"/>
      <c r="W80" s="22"/>
      <c r="X80" s="22"/>
      <c r="Y80" s="22"/>
      <c r="Z80" s="22"/>
    </row>
    <row r="81" customFormat="false" ht="15" hidden="false" customHeight="true" outlineLevel="0" collapsed="false">
      <c r="A81" s="7" t="s">
        <v>229</v>
      </c>
      <c r="B81" s="25" t="s">
        <v>15</v>
      </c>
      <c r="C81" s="5"/>
      <c r="D81" s="5"/>
      <c r="E81" s="5"/>
      <c r="F81" s="5"/>
      <c r="G81" s="5"/>
      <c r="H81" s="5"/>
      <c r="I81" s="5"/>
      <c r="J81" s="5"/>
      <c r="K81" s="5"/>
      <c r="L81" s="5"/>
      <c r="M81" s="22"/>
      <c r="N81" s="22"/>
      <c r="O81" s="22"/>
      <c r="P81" s="22"/>
      <c r="Q81" s="22"/>
      <c r="R81" s="22"/>
      <c r="S81" s="22"/>
      <c r="T81" s="22"/>
      <c r="U81" s="22"/>
      <c r="V81" s="22"/>
      <c r="W81" s="22"/>
      <c r="X81" s="22"/>
      <c r="Y81" s="22"/>
      <c r="Z81" s="22"/>
    </row>
    <row r="82" customFormat="false" ht="14.25" hidden="false" customHeight="true" outlineLevel="0" collapsed="false">
      <c r="A82" s="7" t="s">
        <v>230</v>
      </c>
      <c r="B82" s="7" t="s">
        <v>13</v>
      </c>
      <c r="C82" s="7" t="s">
        <v>231</v>
      </c>
      <c r="D82" s="5"/>
      <c r="E82" s="5"/>
      <c r="F82" s="5"/>
      <c r="G82" s="5"/>
      <c r="H82" s="5"/>
      <c r="I82" s="5"/>
      <c r="J82" s="5"/>
      <c r="K82" s="5"/>
      <c r="L82" s="5"/>
      <c r="M82" s="22"/>
      <c r="N82" s="22"/>
      <c r="O82" s="22"/>
      <c r="P82" s="22"/>
      <c r="Q82" s="22"/>
      <c r="R82" s="22"/>
      <c r="S82" s="22"/>
      <c r="T82" s="22"/>
      <c r="U82" s="22"/>
      <c r="V82" s="22"/>
      <c r="W82" s="22"/>
      <c r="X82" s="22"/>
      <c r="Y82" s="22"/>
      <c r="Z82" s="22"/>
    </row>
    <row r="83" customFormat="false" ht="14.25" hidden="false" customHeight="true" outlineLevel="0" collapsed="false">
      <c r="A83" s="7" t="s">
        <v>232</v>
      </c>
      <c r="B83" s="7" t="s">
        <v>15</v>
      </c>
      <c r="C83" s="7" t="s">
        <v>233</v>
      </c>
      <c r="D83" s="5"/>
      <c r="E83" s="5"/>
      <c r="F83" s="5"/>
      <c r="G83" s="5"/>
      <c r="H83" s="5"/>
      <c r="I83" s="5"/>
      <c r="J83" s="5"/>
      <c r="K83" s="5"/>
      <c r="L83" s="5"/>
      <c r="M83" s="22"/>
      <c r="N83" s="22"/>
      <c r="O83" s="22"/>
      <c r="P83" s="22"/>
      <c r="Q83" s="22"/>
      <c r="R83" s="22"/>
      <c r="S83" s="22"/>
      <c r="T83" s="22"/>
      <c r="U83" s="22"/>
      <c r="V83" s="22"/>
      <c r="W83" s="22"/>
      <c r="X83" s="22"/>
      <c r="Y83" s="22"/>
      <c r="Z83" s="22"/>
    </row>
    <row r="84" customFormat="false" ht="13.5" hidden="false" customHeight="true" outlineLevel="0" collapsed="false">
      <c r="A84" s="5" t="s">
        <v>234</v>
      </c>
      <c r="B84" s="5" t="s">
        <v>15</v>
      </c>
      <c r="C84" s="5" t="s">
        <v>235</v>
      </c>
      <c r="D84" s="5"/>
      <c r="E84" s="5"/>
      <c r="F84" s="5"/>
      <c r="G84" s="5"/>
      <c r="H84" s="5"/>
      <c r="I84" s="5"/>
      <c r="J84" s="5"/>
      <c r="K84" s="5"/>
      <c r="L84" s="5"/>
      <c r="M84" s="22"/>
      <c r="N84" s="22"/>
      <c r="O84" s="22"/>
      <c r="P84" s="22"/>
      <c r="Q84" s="22"/>
      <c r="R84" s="22"/>
      <c r="S84" s="22"/>
      <c r="T84" s="22"/>
      <c r="U84" s="22"/>
      <c r="V84" s="22"/>
      <c r="W84" s="22"/>
      <c r="X84" s="22"/>
      <c r="Y84" s="22"/>
      <c r="Z84" s="22"/>
    </row>
    <row r="85" customFormat="false" ht="14.25" hidden="false" customHeight="true" outlineLevel="0" collapsed="false">
      <c r="A85" s="10" t="s">
        <v>236</v>
      </c>
      <c r="B85" s="5" t="s">
        <v>146</v>
      </c>
      <c r="C85" s="5" t="s">
        <v>237</v>
      </c>
      <c r="D85" s="5"/>
      <c r="E85" s="5"/>
      <c r="F85" s="5"/>
      <c r="G85" s="5"/>
      <c r="H85" s="5"/>
      <c r="I85" s="5"/>
      <c r="J85" s="5"/>
      <c r="K85" s="5"/>
      <c r="L85" s="5"/>
      <c r="M85" s="22"/>
      <c r="N85" s="22"/>
      <c r="O85" s="22"/>
      <c r="P85" s="22"/>
      <c r="Q85" s="22"/>
      <c r="R85" s="22"/>
      <c r="S85" s="22"/>
      <c r="T85" s="22"/>
      <c r="U85" s="22"/>
      <c r="V85" s="22"/>
      <c r="W85" s="22"/>
      <c r="X85" s="22"/>
      <c r="Y85" s="22"/>
      <c r="Z85" s="22"/>
    </row>
    <row r="86" customFormat="false" ht="69.75" hidden="false" customHeight="true" outlineLevel="0" collapsed="false">
      <c r="A86" s="7" t="s">
        <v>238</v>
      </c>
      <c r="B86" s="5" t="s">
        <v>239</v>
      </c>
      <c r="C86" s="5" t="s">
        <v>240</v>
      </c>
      <c r="D86" s="5"/>
      <c r="E86" s="5"/>
      <c r="F86" s="5"/>
      <c r="G86" s="5"/>
      <c r="H86" s="5"/>
      <c r="I86" s="5"/>
      <c r="J86" s="5"/>
      <c r="K86" s="5"/>
      <c r="L86" s="5"/>
      <c r="M86" s="22"/>
      <c r="N86" s="22"/>
      <c r="O86" s="22"/>
      <c r="P86" s="22"/>
      <c r="Q86" s="22"/>
      <c r="R86" s="22"/>
      <c r="S86" s="22"/>
      <c r="T86" s="22"/>
      <c r="U86" s="22"/>
      <c r="V86" s="22"/>
      <c r="W86" s="22"/>
      <c r="X86" s="22"/>
      <c r="Y86" s="22"/>
      <c r="Z86" s="22"/>
    </row>
    <row r="87" customFormat="false" ht="14.25" hidden="false" customHeight="true" outlineLevel="0" collapsed="false">
      <c r="A87" s="5"/>
      <c r="B87" s="5"/>
      <c r="C87" s="5"/>
      <c r="D87" s="26"/>
      <c r="E87" s="5"/>
      <c r="F87" s="5"/>
      <c r="G87" s="5"/>
      <c r="H87" s="5"/>
      <c r="I87" s="5"/>
      <c r="J87" s="5"/>
      <c r="K87" s="5"/>
      <c r="L87" s="5"/>
      <c r="M87" s="22"/>
      <c r="N87" s="22"/>
      <c r="O87" s="22"/>
      <c r="P87" s="22"/>
      <c r="Q87" s="22"/>
      <c r="R87" s="22"/>
      <c r="S87" s="22"/>
      <c r="T87" s="22"/>
      <c r="U87" s="22"/>
      <c r="V87" s="22"/>
      <c r="W87" s="22"/>
      <c r="X87" s="22"/>
      <c r="Y87" s="22"/>
      <c r="Z87" s="22"/>
    </row>
    <row r="88" customFormat="false" ht="14.25" hidden="false" customHeight="true" outlineLevel="0" collapsed="false">
      <c r="A88" s="7" t="s">
        <v>241</v>
      </c>
      <c r="B88" s="7" t="s">
        <v>242</v>
      </c>
      <c r="C88" s="7" t="s">
        <v>243</v>
      </c>
      <c r="D88" s="26" t="s">
        <v>244</v>
      </c>
      <c r="E88" s="5"/>
      <c r="F88" s="5"/>
      <c r="G88" s="5"/>
      <c r="H88" s="5"/>
      <c r="I88" s="5"/>
      <c r="J88" s="5"/>
      <c r="K88" s="5"/>
      <c r="L88" s="5"/>
      <c r="M88" s="22"/>
      <c r="N88" s="22"/>
      <c r="O88" s="22"/>
      <c r="P88" s="22"/>
      <c r="Q88" s="22"/>
      <c r="R88" s="22"/>
      <c r="S88" s="22"/>
      <c r="T88" s="22"/>
      <c r="U88" s="22"/>
      <c r="V88" s="22"/>
      <c r="W88" s="22"/>
      <c r="X88" s="22"/>
      <c r="Y88" s="22"/>
      <c r="Z88" s="22"/>
    </row>
    <row r="89" customFormat="false" ht="14.25" hidden="false" customHeight="true" outlineLevel="0" collapsed="false">
      <c r="A89" s="7" t="s">
        <v>140</v>
      </c>
      <c r="B89" s="7" t="n">
        <f aca="false">B10</f>
        <v>2</v>
      </c>
      <c r="C89" s="7" t="s">
        <v>245</v>
      </c>
      <c r="D89" s="26" t="str">
        <f aca="false">IF(AND(ISNUMBER(B89),B89=INT(B89),B89&gt;=1,B89&lt;=3),"PASS","FAIL")</f>
        <v>PASS</v>
      </c>
      <c r="E89" s="5"/>
      <c r="F89" s="5"/>
      <c r="G89" s="5"/>
      <c r="H89" s="5"/>
      <c r="I89" s="5"/>
      <c r="J89" s="5"/>
      <c r="K89" s="5"/>
      <c r="L89" s="5"/>
      <c r="M89" s="22"/>
      <c r="N89" s="22"/>
      <c r="O89" s="22"/>
      <c r="P89" s="22"/>
      <c r="Q89" s="22"/>
      <c r="R89" s="22"/>
      <c r="S89" s="22"/>
      <c r="T89" s="22"/>
      <c r="U89" s="22"/>
      <c r="V89" s="22"/>
      <c r="W89" s="22"/>
      <c r="X89" s="22"/>
      <c r="Y89" s="22"/>
      <c r="Z89" s="22"/>
    </row>
    <row r="90" customFormat="false" ht="14.25" hidden="false" customHeight="true" outlineLevel="0" collapsed="false">
      <c r="A90" s="7" t="s">
        <v>246</v>
      </c>
      <c r="B90" s="7" t="n">
        <f aca="false">B18</f>
        <v>0.95</v>
      </c>
      <c r="C90" s="7" t="s">
        <v>247</v>
      </c>
      <c r="D90" s="26" t="str">
        <f aca="false">IF(AND(ISNUMBER(B90),B90&gt;=0,B90&lt;=1),"PASS","FAIL")</f>
        <v>PASS</v>
      </c>
      <c r="E90" s="5"/>
      <c r="F90" s="5"/>
      <c r="G90" s="5"/>
      <c r="H90" s="5"/>
      <c r="I90" s="5"/>
      <c r="J90" s="5"/>
      <c r="K90" s="5"/>
      <c r="L90" s="5"/>
      <c r="M90" s="22"/>
      <c r="N90" s="22"/>
      <c r="O90" s="22"/>
      <c r="P90" s="22"/>
      <c r="Q90" s="22"/>
      <c r="R90" s="22"/>
      <c r="S90" s="22"/>
      <c r="T90" s="22"/>
      <c r="U90" s="22"/>
      <c r="V90" s="22"/>
      <c r="W90" s="22"/>
      <c r="X90" s="22"/>
      <c r="Y90" s="22"/>
      <c r="Z90" s="22"/>
    </row>
    <row r="91" customFormat="false" ht="14.25" hidden="false" customHeight="true" outlineLevel="0" collapsed="false">
      <c r="A91" s="7" t="s">
        <v>248</v>
      </c>
      <c r="B91" s="7" t="n">
        <v>0.05</v>
      </c>
      <c r="C91" s="7" t="s">
        <v>247</v>
      </c>
      <c r="D91" s="26" t="str">
        <f aca="false">IF(AND(ISNUMBER(B91),B91&gt;=0,B91&lt;=1),"PASS","FAIL")</f>
        <v>PASS</v>
      </c>
      <c r="E91" s="5"/>
      <c r="F91" s="5"/>
      <c r="G91" s="5"/>
      <c r="H91" s="5"/>
      <c r="I91" s="5"/>
      <c r="J91" s="5"/>
      <c r="K91" s="5"/>
      <c r="L91" s="5"/>
      <c r="M91" s="22"/>
      <c r="N91" s="22"/>
      <c r="O91" s="22"/>
      <c r="P91" s="22"/>
      <c r="Q91" s="22"/>
      <c r="R91" s="22"/>
      <c r="S91" s="22"/>
      <c r="T91" s="22"/>
      <c r="U91" s="22"/>
      <c r="V91" s="22"/>
      <c r="W91" s="22"/>
      <c r="X91" s="22"/>
      <c r="Y91" s="22"/>
      <c r="Z91" s="22"/>
    </row>
    <row r="92" customFormat="false" ht="14.25" hidden="false" customHeight="true" outlineLevel="0" collapsed="false">
      <c r="A92" s="7" t="s">
        <v>161</v>
      </c>
      <c r="B92" s="7" t="n">
        <f aca="false">B20</f>
        <v>2</v>
      </c>
      <c r="C92" s="7" t="s">
        <v>249</v>
      </c>
      <c r="D92" s="26" t="str">
        <f aca="false">IF(AND(ISNUMBER(B92),B92=INT(B92),B92&gt;0),"PASS","FAIL")</f>
        <v>PASS</v>
      </c>
      <c r="E92" s="5"/>
      <c r="F92" s="5"/>
      <c r="G92" s="5"/>
      <c r="H92" s="5"/>
      <c r="I92" s="5"/>
      <c r="J92" s="5"/>
      <c r="K92" s="5"/>
      <c r="L92" s="5"/>
      <c r="M92" s="22"/>
      <c r="N92" s="22"/>
      <c r="O92" s="22"/>
      <c r="P92" s="22"/>
      <c r="Q92" s="22"/>
      <c r="R92" s="22"/>
      <c r="S92" s="22"/>
      <c r="T92" s="22"/>
      <c r="U92" s="22"/>
      <c r="V92" s="22"/>
      <c r="W92" s="22"/>
      <c r="X92" s="22"/>
      <c r="Y92" s="22"/>
      <c r="Z92" s="22"/>
    </row>
    <row r="93" customFormat="false" ht="14.25" hidden="false" customHeight="true" outlineLevel="0" collapsed="false">
      <c r="A93" s="7" t="s">
        <v>162</v>
      </c>
      <c r="B93" s="7" t="n">
        <f aca="false">B21</f>
        <v>1</v>
      </c>
      <c r="C93" s="7" t="s">
        <v>250</v>
      </c>
      <c r="D93" s="26" t="str">
        <f aca="false">IF(OR(B93=0,B93=1),"PASS","FAIL")</f>
        <v>PASS</v>
      </c>
      <c r="E93" s="5"/>
      <c r="F93" s="5"/>
      <c r="G93" s="5"/>
      <c r="H93" s="5"/>
      <c r="I93" s="5"/>
      <c r="J93" s="5"/>
      <c r="K93" s="5"/>
      <c r="L93" s="5"/>
      <c r="M93" s="22"/>
      <c r="N93" s="22"/>
      <c r="O93" s="22"/>
      <c r="P93" s="22"/>
      <c r="Q93" s="22"/>
      <c r="R93" s="22"/>
      <c r="S93" s="22"/>
      <c r="T93" s="22"/>
      <c r="U93" s="22"/>
      <c r="V93" s="22"/>
      <c r="W93" s="22"/>
      <c r="X93" s="22"/>
      <c r="Y93" s="22"/>
      <c r="Z93" s="22"/>
    </row>
    <row r="94" customFormat="false" ht="14.25" hidden="false" customHeight="true" outlineLevel="0" collapsed="false">
      <c r="A94" s="7" t="s">
        <v>251</v>
      </c>
      <c r="B94" s="7" t="n">
        <f aca="false">B22</f>
        <v>2</v>
      </c>
      <c r="C94" s="7" t="s">
        <v>252</v>
      </c>
      <c r="D94" s="26" t="str">
        <f aca="false">IF(AND(ISNUMBER(B94),B94&gt;0),"PASS","FAIL")</f>
        <v>PASS</v>
      </c>
      <c r="E94" s="5"/>
      <c r="F94" s="5"/>
      <c r="G94" s="5"/>
      <c r="H94" s="5"/>
      <c r="I94" s="5"/>
      <c r="J94" s="5"/>
      <c r="K94" s="5"/>
      <c r="L94" s="5"/>
      <c r="M94" s="22"/>
      <c r="N94" s="22"/>
      <c r="O94" s="22"/>
      <c r="P94" s="22"/>
      <c r="Q94" s="22"/>
      <c r="R94" s="22"/>
      <c r="S94" s="22"/>
      <c r="T94" s="22"/>
      <c r="U94" s="22"/>
      <c r="V94" s="22"/>
      <c r="W94" s="22"/>
      <c r="X94" s="22"/>
      <c r="Y94" s="22"/>
      <c r="Z94" s="22"/>
    </row>
    <row r="95" customFormat="false" ht="14.25" hidden="false" customHeight="true" outlineLevel="0" collapsed="false">
      <c r="A95" s="7" t="s">
        <v>253</v>
      </c>
      <c r="B95" s="7" t="n">
        <f aca="false">B23</f>
        <v>0.05</v>
      </c>
      <c r="C95" s="7" t="s">
        <v>247</v>
      </c>
      <c r="D95" s="26" t="str">
        <f aca="false">IF(AND(ISNUMBER(B95),B95&gt;=0,B95&lt;=1),"PASS","FAIL")</f>
        <v>PASS</v>
      </c>
      <c r="E95" s="5"/>
      <c r="F95" s="5"/>
      <c r="G95" s="5"/>
      <c r="H95" s="5"/>
      <c r="I95" s="5"/>
      <c r="J95" s="5"/>
      <c r="K95" s="5"/>
      <c r="L95" s="5"/>
      <c r="M95" s="22"/>
      <c r="N95" s="22"/>
      <c r="O95" s="22"/>
      <c r="P95" s="22"/>
      <c r="Q95" s="22"/>
      <c r="R95" s="22"/>
      <c r="S95" s="22"/>
      <c r="T95" s="22"/>
      <c r="U95" s="22"/>
      <c r="V95" s="22"/>
      <c r="W95" s="22"/>
      <c r="X95" s="22"/>
      <c r="Y95" s="22"/>
      <c r="Z95" s="22"/>
    </row>
    <row r="96" customFormat="false" ht="14.25" hidden="false" customHeight="true" outlineLevel="0" collapsed="false">
      <c r="A96" s="7" t="s">
        <v>254</v>
      </c>
      <c r="B96" s="7" t="n">
        <f aca="false">B24</f>
        <v>-0.1</v>
      </c>
      <c r="C96" s="7" t="s">
        <v>255</v>
      </c>
      <c r="D96" s="26" t="str">
        <f aca="false">IF(AND(ISNUMBER(B96),B96&lt;0),"PASS","FAIL")</f>
        <v>PASS</v>
      </c>
      <c r="E96" s="5"/>
      <c r="F96" s="5"/>
      <c r="G96" s="5"/>
      <c r="H96" s="5"/>
      <c r="I96" s="5"/>
      <c r="J96" s="5"/>
      <c r="K96" s="5"/>
      <c r="L96" s="5"/>
      <c r="M96" s="22"/>
      <c r="N96" s="22"/>
      <c r="O96" s="22"/>
      <c r="P96" s="22"/>
      <c r="Q96" s="22"/>
      <c r="R96" s="22"/>
      <c r="S96" s="22"/>
      <c r="T96" s="22"/>
      <c r="U96" s="22"/>
      <c r="V96" s="22"/>
      <c r="W96" s="22"/>
      <c r="X96" s="22"/>
      <c r="Y96" s="22"/>
      <c r="Z96" s="22"/>
    </row>
    <row r="97" customFormat="false" ht="14.25" hidden="false" customHeight="true" outlineLevel="0" collapsed="false">
      <c r="A97" s="7" t="s">
        <v>256</v>
      </c>
      <c r="B97" s="7" t="n">
        <f aca="false">B25</f>
        <v>25</v>
      </c>
      <c r="C97" s="7" t="s">
        <v>249</v>
      </c>
      <c r="D97" s="26" t="str">
        <f aca="false">IF(AND(ISNUMBER(B97),B97=INT(B97),B97&gt;0),"PASS","FAIL")</f>
        <v>PASS</v>
      </c>
      <c r="E97" s="5"/>
      <c r="F97" s="5"/>
      <c r="G97" s="5"/>
      <c r="H97" s="5"/>
      <c r="I97" s="5"/>
      <c r="J97" s="5"/>
      <c r="K97" s="5"/>
      <c r="L97" s="5"/>
      <c r="M97" s="22"/>
      <c r="N97" s="22"/>
      <c r="O97" s="22"/>
      <c r="P97" s="22"/>
      <c r="Q97" s="22"/>
      <c r="R97" s="22"/>
      <c r="S97" s="22"/>
      <c r="T97" s="22"/>
      <c r="U97" s="22"/>
      <c r="V97" s="22"/>
      <c r="W97" s="22"/>
      <c r="X97" s="22"/>
      <c r="Y97" s="22"/>
      <c r="Z97" s="22"/>
    </row>
    <row r="98" customFormat="false" ht="14.25" hidden="false" customHeight="true" outlineLevel="0" collapsed="false">
      <c r="A98" s="7" t="s">
        <v>257</v>
      </c>
      <c r="B98" s="7" t="n">
        <f aca="false">B26</f>
        <v>0.02</v>
      </c>
      <c r="C98" s="7" t="s">
        <v>258</v>
      </c>
      <c r="D98" s="26" t="str">
        <f aca="false">IF(AND(ISNUMBER(B98),B98&gt;=0),"PASS","FAIL")</f>
        <v>PASS</v>
      </c>
      <c r="E98" s="5"/>
      <c r="F98" s="5"/>
      <c r="G98" s="5"/>
      <c r="H98" s="5"/>
      <c r="I98" s="5"/>
      <c r="J98" s="5"/>
      <c r="K98" s="5"/>
      <c r="L98" s="5"/>
      <c r="M98" s="22"/>
      <c r="N98" s="22"/>
      <c r="O98" s="22"/>
      <c r="P98" s="22"/>
      <c r="Q98" s="22"/>
      <c r="R98" s="22"/>
      <c r="S98" s="22"/>
      <c r="T98" s="22"/>
      <c r="U98" s="22"/>
      <c r="V98" s="22"/>
      <c r="W98" s="22"/>
      <c r="X98" s="22"/>
      <c r="Y98" s="22"/>
      <c r="Z98" s="22"/>
    </row>
    <row r="99" customFormat="false" ht="14.25" hidden="false" customHeight="true" outlineLevel="0" collapsed="false">
      <c r="A99" s="7" t="s">
        <v>148</v>
      </c>
      <c r="B99" s="7" t="n">
        <f aca="false">B13</f>
        <v>1</v>
      </c>
      <c r="C99" s="7" t="s">
        <v>250</v>
      </c>
      <c r="D99" s="26" t="str">
        <f aca="false">IF(OR(B99=0,B99=1),"PASS","FAIL")</f>
        <v>PASS</v>
      </c>
      <c r="E99" s="5"/>
      <c r="F99" s="5"/>
      <c r="G99" s="5"/>
      <c r="H99" s="5"/>
      <c r="I99" s="5"/>
      <c r="J99" s="5"/>
      <c r="K99" s="5"/>
      <c r="L99" s="5"/>
      <c r="M99" s="22"/>
      <c r="N99" s="22"/>
      <c r="O99" s="22"/>
      <c r="P99" s="22"/>
      <c r="Q99" s="22"/>
      <c r="R99" s="22"/>
      <c r="S99" s="22"/>
      <c r="T99" s="22"/>
      <c r="U99" s="22"/>
      <c r="V99" s="22"/>
      <c r="W99" s="22"/>
      <c r="X99" s="22"/>
      <c r="Y99" s="22"/>
      <c r="Z99" s="22"/>
    </row>
    <row r="100" customFormat="false" ht="14.25" hidden="false" customHeight="true" outlineLevel="0" collapsed="false">
      <c r="A100" s="7" t="s">
        <v>150</v>
      </c>
      <c r="B100" s="7" t="n">
        <f aca="false">B14</f>
        <v>1</v>
      </c>
      <c r="C100" s="7" t="s">
        <v>250</v>
      </c>
      <c r="D100" s="26" t="str">
        <f aca="false">IF(OR(B100=0,B100=1),"PASS","FAIL")</f>
        <v>PASS</v>
      </c>
      <c r="E100" s="5"/>
      <c r="F100" s="5"/>
      <c r="G100" s="5"/>
      <c r="H100" s="5"/>
      <c r="I100" s="5"/>
      <c r="J100" s="5"/>
      <c r="K100" s="5"/>
      <c r="L100" s="5"/>
      <c r="M100" s="22"/>
      <c r="N100" s="22"/>
      <c r="O100" s="22"/>
      <c r="P100" s="22"/>
      <c r="Q100" s="22"/>
      <c r="R100" s="22"/>
      <c r="S100" s="22"/>
      <c r="T100" s="22"/>
      <c r="U100" s="22"/>
      <c r="V100" s="22"/>
      <c r="W100" s="22"/>
      <c r="X100" s="22"/>
      <c r="Y100" s="22"/>
      <c r="Z100" s="22"/>
    </row>
    <row r="101" customFormat="false" ht="14.25" hidden="false" customHeight="true" outlineLevel="0" collapsed="false">
      <c r="A101" s="7" t="s">
        <v>152</v>
      </c>
      <c r="B101" s="7" t="n">
        <f aca="false">B15</f>
        <v>0</v>
      </c>
      <c r="C101" s="7" t="s">
        <v>250</v>
      </c>
      <c r="D101" s="26" t="str">
        <f aca="false">IF(OR(B101=0,B101=1),"PASS","FAIL")</f>
        <v>PASS</v>
      </c>
      <c r="E101" s="5"/>
      <c r="F101" s="5"/>
      <c r="G101" s="5"/>
      <c r="H101" s="5"/>
      <c r="I101" s="5"/>
      <c r="J101" s="5"/>
      <c r="K101" s="5"/>
      <c r="L101" s="5"/>
      <c r="M101" s="5"/>
      <c r="N101" s="5"/>
      <c r="O101" s="5"/>
      <c r="P101" s="5"/>
      <c r="Q101" s="5"/>
      <c r="R101" s="5"/>
      <c r="S101" s="5"/>
      <c r="T101" s="5"/>
      <c r="U101" s="5"/>
      <c r="V101" s="5"/>
      <c r="W101" s="5"/>
      <c r="X101" s="5"/>
      <c r="Y101" s="5"/>
      <c r="Z101" s="5"/>
    </row>
    <row r="102" customFormat="false" ht="14.25" hidden="false" customHeight="true" outlineLevel="0" collapsed="false">
      <c r="A102" s="7" t="s">
        <v>182</v>
      </c>
      <c r="B102" s="7" t="n">
        <f aca="false">B38</f>
        <v>8</v>
      </c>
      <c r="C102" s="7" t="s">
        <v>259</v>
      </c>
      <c r="D102" s="26" t="str">
        <f aca="false">IF(AND(ISNUMBER(B102),B102=INT(B102),B102=8),"PASS","FAIL")</f>
        <v>PASS</v>
      </c>
      <c r="E102" s="5"/>
      <c r="F102" s="5"/>
      <c r="G102" s="5"/>
      <c r="H102" s="5"/>
      <c r="I102" s="5"/>
      <c r="J102" s="5"/>
      <c r="K102" s="5"/>
      <c r="L102" s="5"/>
      <c r="M102" s="5"/>
      <c r="N102" s="5"/>
      <c r="O102" s="5"/>
      <c r="P102" s="5"/>
      <c r="Q102" s="5"/>
      <c r="R102" s="5"/>
      <c r="S102" s="5"/>
      <c r="T102" s="5"/>
      <c r="U102" s="5"/>
      <c r="V102" s="5"/>
      <c r="W102" s="5"/>
      <c r="X102" s="5"/>
      <c r="Y102" s="5"/>
      <c r="Z102" s="5"/>
    </row>
    <row r="103" customFormat="false" ht="14.25" hidden="false" customHeight="true" outlineLevel="0" collapsed="false">
      <c r="A103" s="7" t="s">
        <v>260</v>
      </c>
      <c r="B103" s="7" t="n">
        <f aca="false">B41</f>
        <v>5</v>
      </c>
      <c r="C103" s="7" t="s">
        <v>261</v>
      </c>
      <c r="D103" s="26" t="str">
        <f aca="false">IF(AND(ISNUMBER(B103),B103=INT(B103),B103&gt;=5,B103&lt;=6),"PASS","FAIL")</f>
        <v>PASS</v>
      </c>
      <c r="E103" s="5"/>
      <c r="F103" s="5"/>
      <c r="G103" s="5"/>
      <c r="H103" s="5"/>
      <c r="I103" s="5"/>
      <c r="J103" s="5"/>
      <c r="K103" s="5"/>
      <c r="L103" s="5"/>
      <c r="M103" s="5"/>
      <c r="N103" s="5"/>
      <c r="O103" s="5"/>
      <c r="P103" s="5"/>
      <c r="Q103" s="5"/>
      <c r="R103" s="5"/>
      <c r="S103" s="5"/>
      <c r="T103" s="5"/>
      <c r="U103" s="5"/>
      <c r="V103" s="5"/>
      <c r="W103" s="5"/>
      <c r="X103" s="5"/>
      <c r="Y103" s="5"/>
      <c r="Z103" s="5"/>
    </row>
    <row r="104" customFormat="false" ht="14.25" hidden="false" customHeight="true" outlineLevel="0" collapsed="false">
      <c r="A104" s="7" t="s">
        <v>198</v>
      </c>
      <c r="B104" s="7" t="n">
        <f aca="false">B54</f>
        <v>0.0219</v>
      </c>
      <c r="C104" s="7" t="s">
        <v>258</v>
      </c>
      <c r="D104" s="26" t="str">
        <f aca="false">IF(AND(ISNUMBER(B104),B104&gt;=0),"PASS","FAIL")</f>
        <v>PASS</v>
      </c>
      <c r="E104" s="5"/>
      <c r="F104" s="5"/>
      <c r="G104" s="5"/>
      <c r="H104" s="5"/>
      <c r="I104" s="5"/>
      <c r="J104" s="5"/>
      <c r="K104" s="5"/>
      <c r="L104" s="5"/>
      <c r="M104" s="5"/>
      <c r="N104" s="5"/>
      <c r="O104" s="5"/>
      <c r="P104" s="5"/>
      <c r="Q104" s="5"/>
      <c r="R104" s="5"/>
      <c r="S104" s="5"/>
      <c r="T104" s="5"/>
      <c r="U104" s="5"/>
      <c r="V104" s="5"/>
      <c r="W104" s="5"/>
      <c r="X104" s="5"/>
      <c r="Y104" s="5"/>
      <c r="Z104" s="5"/>
    </row>
    <row r="105" customFormat="false" ht="14.25" hidden="false" customHeight="true" outlineLevel="0" collapsed="false">
      <c r="A105" s="7" t="s">
        <v>199</v>
      </c>
      <c r="B105" s="7" t="n">
        <f aca="false">B55</f>
        <v>0.0315</v>
      </c>
      <c r="C105" s="7" t="s">
        <v>258</v>
      </c>
      <c r="D105" s="26" t="str">
        <f aca="false">IF(AND(ISNUMBER(B105),B105&gt;=0),"PASS","FAIL")</f>
        <v>PASS</v>
      </c>
      <c r="E105" s="5"/>
      <c r="F105" s="5"/>
      <c r="G105" s="5"/>
      <c r="H105" s="5"/>
      <c r="I105" s="5"/>
      <c r="J105" s="5"/>
      <c r="K105" s="5"/>
      <c r="L105" s="5"/>
      <c r="M105" s="5"/>
      <c r="N105" s="5"/>
      <c r="O105" s="5"/>
      <c r="P105" s="5"/>
      <c r="Q105" s="5"/>
      <c r="R105" s="5"/>
      <c r="S105" s="5"/>
      <c r="T105" s="5"/>
      <c r="U105" s="5"/>
      <c r="V105" s="5"/>
      <c r="W105" s="5"/>
      <c r="X105" s="5"/>
      <c r="Y105" s="5"/>
      <c r="Z105" s="5"/>
    </row>
    <row r="106" customFormat="false" ht="14.25" hidden="false" customHeight="true" outlineLevel="0" collapsed="false">
      <c r="A106" s="7" t="s">
        <v>202</v>
      </c>
      <c r="B106" s="7" t="n">
        <f aca="false">B58</f>
        <v>0.2</v>
      </c>
      <c r="C106" s="7" t="s">
        <v>247</v>
      </c>
      <c r="D106" s="26" t="str">
        <f aca="false">IF(AND(ISNUMBER(B106),B106&gt;=0,B106&lt;=1),"PASS","FAIL")</f>
        <v>PASS</v>
      </c>
      <c r="E106" s="5"/>
      <c r="F106" s="5"/>
      <c r="G106" s="5"/>
      <c r="H106" s="5"/>
      <c r="I106" s="5"/>
      <c r="J106" s="5"/>
      <c r="K106" s="5"/>
      <c r="L106" s="5"/>
      <c r="M106" s="5"/>
      <c r="N106" s="5"/>
      <c r="O106" s="5"/>
      <c r="P106" s="5"/>
      <c r="Q106" s="5"/>
      <c r="R106" s="5"/>
      <c r="S106" s="5"/>
      <c r="T106" s="5"/>
      <c r="U106" s="5"/>
      <c r="V106" s="5"/>
      <c r="W106" s="5"/>
      <c r="X106" s="5"/>
      <c r="Y106" s="5"/>
      <c r="Z106" s="5"/>
    </row>
    <row r="107" customFormat="false" ht="14.25" hidden="false" customHeight="true" outlineLevel="0" collapsed="false">
      <c r="A107" s="7" t="s">
        <v>207</v>
      </c>
      <c r="B107" s="24" t="n">
        <f aca="false">B63</f>
        <v>0.0153129427168233</v>
      </c>
      <c r="C107" s="7" t="s">
        <v>262</v>
      </c>
      <c r="D107" s="26" t="str">
        <f aca="false">IF(ISNUMBER(B107),"PASS","FAIL")</f>
        <v>PASS</v>
      </c>
      <c r="E107" s="5"/>
      <c r="F107" s="5"/>
      <c r="G107" s="5"/>
      <c r="H107" s="5"/>
      <c r="I107" s="5"/>
      <c r="J107" s="5"/>
      <c r="K107" s="5"/>
      <c r="L107" s="5"/>
      <c r="M107" s="5"/>
      <c r="N107" s="5"/>
      <c r="O107" s="5"/>
      <c r="P107" s="5"/>
      <c r="Q107" s="5"/>
      <c r="R107" s="5"/>
      <c r="S107" s="5"/>
      <c r="T107" s="5"/>
      <c r="U107" s="5"/>
      <c r="V107" s="5"/>
      <c r="W107" s="5"/>
      <c r="X107" s="5"/>
      <c r="Y107" s="5"/>
      <c r="Z107" s="5"/>
    </row>
    <row r="108" customFormat="false" ht="14.25" hidden="false" customHeight="true" outlineLevel="0" collapsed="false">
      <c r="A108" s="7" t="s">
        <v>208</v>
      </c>
      <c r="B108" s="24" t="n">
        <f aca="false">B64</f>
        <v>-0.00112238738505248</v>
      </c>
      <c r="C108" s="7" t="s">
        <v>262</v>
      </c>
      <c r="D108" s="26" t="str">
        <f aca="false">IF(ISNUMBER(B108),"PASS","FAIL")</f>
        <v>PASS</v>
      </c>
      <c r="E108" s="5"/>
      <c r="F108" s="5"/>
      <c r="G108" s="5"/>
      <c r="H108" s="5"/>
      <c r="I108" s="5"/>
      <c r="J108" s="5"/>
      <c r="K108" s="5"/>
      <c r="L108" s="5"/>
      <c r="M108" s="5"/>
      <c r="N108" s="5"/>
      <c r="O108" s="5"/>
      <c r="P108" s="5"/>
      <c r="Q108" s="5"/>
      <c r="R108" s="5"/>
      <c r="S108" s="5"/>
      <c r="T108" s="5"/>
      <c r="U108" s="5"/>
      <c r="V108" s="5"/>
      <c r="W108" s="5"/>
      <c r="X108" s="5"/>
      <c r="Y108" s="5"/>
      <c r="Z108" s="5"/>
    </row>
    <row r="109" customFormat="false" ht="14.25" hidden="false" customHeight="true" outlineLevel="0" collapsed="false">
      <c r="A109" s="7" t="s">
        <v>210</v>
      </c>
      <c r="B109" s="7" t="n">
        <f aca="false">B67</f>
        <v>2</v>
      </c>
      <c r="C109" s="7" t="s">
        <v>263</v>
      </c>
      <c r="D109" s="26" t="str">
        <f aca="false">IF(AND(ISNUMBER(B109),B109=INT(B109),B109&gt;=0),"PASS","FAIL")</f>
        <v>PASS</v>
      </c>
      <c r="E109" s="5"/>
      <c r="F109" s="5"/>
      <c r="G109" s="5"/>
      <c r="H109" s="5"/>
      <c r="I109" s="5"/>
      <c r="J109" s="5"/>
      <c r="K109" s="5"/>
      <c r="L109" s="5"/>
      <c r="M109" s="5"/>
      <c r="N109" s="5"/>
      <c r="O109" s="5"/>
      <c r="P109" s="5"/>
      <c r="Q109" s="5"/>
      <c r="R109" s="5"/>
      <c r="S109" s="5"/>
      <c r="T109" s="5"/>
      <c r="U109" s="5"/>
      <c r="V109" s="5"/>
      <c r="W109" s="5"/>
      <c r="X109" s="5"/>
      <c r="Y109" s="5"/>
      <c r="Z109" s="5"/>
    </row>
    <row r="110" customFormat="false" ht="14.25" hidden="false" customHeight="true" outlineLevel="0" collapsed="false">
      <c r="A110" s="7" t="s">
        <v>212</v>
      </c>
      <c r="B110" s="7" t="n">
        <f aca="false">B68</f>
        <v>2</v>
      </c>
      <c r="C110" s="7" t="s">
        <v>263</v>
      </c>
      <c r="D110" s="26" t="str">
        <f aca="false">IF(AND(ISNUMBER(B110),B110=INT(B110),B110&gt;=0),"PASS","FAIL")</f>
        <v>PASS</v>
      </c>
      <c r="E110" s="5"/>
      <c r="F110" s="5"/>
      <c r="G110" s="5"/>
      <c r="H110" s="5"/>
      <c r="I110" s="5"/>
      <c r="J110" s="5"/>
      <c r="K110" s="5"/>
      <c r="L110" s="5"/>
      <c r="M110" s="5"/>
      <c r="N110" s="5"/>
      <c r="O110" s="5"/>
      <c r="P110" s="5"/>
      <c r="Q110" s="5"/>
      <c r="R110" s="5"/>
      <c r="S110" s="5"/>
      <c r="T110" s="5"/>
      <c r="U110" s="5"/>
      <c r="V110" s="5"/>
      <c r="W110" s="5"/>
      <c r="X110" s="5"/>
      <c r="Y110" s="5"/>
      <c r="Z110" s="5"/>
    </row>
    <row r="111" customFormat="false" ht="14.25" hidden="false" customHeight="true" outlineLevel="0" collapsed="false">
      <c r="A111" s="7" t="s">
        <v>223</v>
      </c>
      <c r="B111" s="7" t="n">
        <f aca="false">B76</f>
        <v>0</v>
      </c>
      <c r="C111" s="7" t="s">
        <v>263</v>
      </c>
      <c r="D111" s="26" t="str">
        <f aca="false">IF(AND(ISNUMBER(B111),B111=INT(B111),B111&gt;=0),"PASS","FAIL")</f>
        <v>PASS</v>
      </c>
      <c r="E111" s="5"/>
      <c r="F111" s="5"/>
      <c r="G111" s="5"/>
      <c r="H111" s="5"/>
      <c r="I111" s="5"/>
      <c r="J111" s="5"/>
      <c r="K111" s="5"/>
      <c r="L111" s="5"/>
      <c r="M111" s="5"/>
      <c r="N111" s="5"/>
      <c r="O111" s="5"/>
      <c r="P111" s="5"/>
      <c r="Q111" s="5"/>
      <c r="R111" s="5"/>
      <c r="S111" s="5"/>
      <c r="T111" s="5"/>
      <c r="U111" s="5"/>
      <c r="V111" s="5"/>
      <c r="W111" s="5"/>
      <c r="X111" s="5"/>
      <c r="Y111" s="5"/>
      <c r="Z111" s="5"/>
    </row>
    <row r="112" customFormat="false" ht="14.25" hidden="false" customHeight="true" outlineLevel="0" collapsed="false">
      <c r="A112" s="7" t="s">
        <v>264</v>
      </c>
      <c r="B112" s="7" t="n">
        <f aca="false">B80</f>
        <v>0</v>
      </c>
      <c r="C112" s="7" t="s">
        <v>263</v>
      </c>
      <c r="D112" s="26" t="str">
        <f aca="false">IF(AND(ISNUMBER(B112),B112=INT(B112),B112&gt;=0),"PASS","FAIL")</f>
        <v>PASS</v>
      </c>
      <c r="E112" s="5"/>
      <c r="F112" s="5"/>
      <c r="G112" s="5"/>
      <c r="H112" s="5"/>
      <c r="I112" s="5"/>
      <c r="J112" s="5"/>
      <c r="K112" s="5"/>
      <c r="L112" s="5"/>
      <c r="M112" s="5"/>
      <c r="N112" s="5"/>
      <c r="O112" s="5"/>
      <c r="P112" s="5"/>
      <c r="Q112" s="5"/>
      <c r="R112" s="5"/>
      <c r="S112" s="5"/>
      <c r="T112" s="5"/>
      <c r="U112" s="5"/>
      <c r="V112" s="5"/>
      <c r="W112" s="5"/>
      <c r="X112" s="5"/>
      <c r="Y112" s="5"/>
      <c r="Z112" s="5"/>
    </row>
    <row r="113" customFormat="false" ht="13.5" hidden="false" customHeight="true" outlineLevel="0" collapsed="false">
      <c r="A113" s="7" t="s">
        <v>265</v>
      </c>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customFormat="false" ht="14.25" hidden="false" customHeight="true" outlineLevel="0" collapsed="false">
      <c r="A114" s="10" t="s">
        <v>266</v>
      </c>
      <c r="B114" s="7" t="n">
        <v>0</v>
      </c>
      <c r="C114" s="7" t="s">
        <v>267</v>
      </c>
      <c r="D114" s="5"/>
      <c r="E114" s="5"/>
      <c r="F114" s="5"/>
      <c r="G114" s="5"/>
      <c r="H114" s="5"/>
      <c r="I114" s="5"/>
      <c r="J114" s="5"/>
      <c r="K114" s="5"/>
      <c r="L114" s="5"/>
      <c r="M114" s="5"/>
      <c r="N114" s="5"/>
      <c r="O114" s="5"/>
      <c r="P114" s="5"/>
      <c r="Q114" s="5"/>
      <c r="R114" s="5"/>
      <c r="S114" s="5"/>
      <c r="T114" s="5"/>
      <c r="U114" s="5"/>
      <c r="V114" s="5"/>
      <c r="W114" s="5"/>
      <c r="X114" s="5"/>
      <c r="Y114" s="5"/>
      <c r="Z114" s="5"/>
    </row>
    <row r="115" customFormat="false" ht="14.25" hidden="false" customHeight="true" outlineLevel="0" collapsed="false">
      <c r="A115" s="10" t="s">
        <v>268</v>
      </c>
      <c r="B115" s="26" t="n">
        <v>0</v>
      </c>
      <c r="C115" s="7" t="s">
        <v>269</v>
      </c>
      <c r="D115" s="5"/>
      <c r="E115" s="5"/>
      <c r="F115" s="5"/>
      <c r="G115" s="5"/>
      <c r="H115" s="5"/>
      <c r="I115" s="5"/>
      <c r="J115" s="5"/>
      <c r="K115" s="5"/>
      <c r="L115" s="5"/>
      <c r="M115" s="5"/>
      <c r="N115" s="5"/>
      <c r="O115" s="5"/>
      <c r="P115" s="5"/>
      <c r="Q115" s="5"/>
      <c r="R115" s="5"/>
      <c r="S115" s="5"/>
      <c r="T115" s="5"/>
      <c r="U115" s="5"/>
      <c r="V115" s="5"/>
      <c r="W115" s="5"/>
      <c r="X115" s="5"/>
      <c r="Y115" s="5"/>
      <c r="Z115" s="5"/>
    </row>
    <row r="116" customFormat="false" ht="14.25" hidden="false" customHeight="true" outlineLevel="0" collapsed="false">
      <c r="A116" s="7" t="s">
        <v>270</v>
      </c>
      <c r="B116" s="26" t="n">
        <v>0</v>
      </c>
      <c r="C116" s="7" t="s">
        <v>271</v>
      </c>
      <c r="D116" s="5"/>
      <c r="E116" s="5"/>
      <c r="F116" s="5"/>
      <c r="G116" s="5"/>
      <c r="H116" s="5"/>
      <c r="I116" s="5"/>
      <c r="J116" s="5"/>
      <c r="K116" s="5"/>
      <c r="L116" s="5"/>
      <c r="M116" s="5"/>
      <c r="N116" s="5"/>
      <c r="O116" s="5"/>
      <c r="P116" s="5"/>
      <c r="Q116" s="5"/>
      <c r="R116" s="5"/>
      <c r="S116" s="5"/>
      <c r="T116" s="5"/>
      <c r="U116" s="5"/>
      <c r="V116" s="5"/>
      <c r="W116" s="5"/>
      <c r="X116" s="5"/>
      <c r="Y116" s="5"/>
      <c r="Z116" s="5"/>
    </row>
    <row r="117" customFormat="false" ht="14.25" hidden="false" customHeight="true" outlineLevel="0" collapsed="false">
      <c r="A117" s="7" t="s">
        <v>272</v>
      </c>
      <c r="B117" s="25" t="s">
        <v>15</v>
      </c>
      <c r="C117" s="7" t="s">
        <v>273</v>
      </c>
      <c r="D117" s="5"/>
      <c r="E117" s="5"/>
      <c r="F117" s="5"/>
      <c r="G117" s="5"/>
      <c r="H117" s="5"/>
      <c r="I117" s="5"/>
      <c r="J117" s="5"/>
      <c r="K117" s="5"/>
      <c r="L117" s="5"/>
      <c r="M117" s="5"/>
      <c r="N117" s="5"/>
      <c r="O117" s="5"/>
      <c r="P117" s="5"/>
      <c r="Q117" s="5"/>
      <c r="R117" s="5"/>
      <c r="S117" s="5"/>
      <c r="T117" s="5"/>
      <c r="U117" s="5"/>
      <c r="V117" s="5"/>
      <c r="W117" s="5"/>
      <c r="X117" s="5"/>
      <c r="Y117" s="5"/>
      <c r="Z117" s="5"/>
    </row>
    <row r="118" customFormat="false" ht="14.25" hidden="false" customHeight="true" outlineLevel="0" collapsed="false">
      <c r="A118" s="5"/>
      <c r="B118" s="25"/>
      <c r="C118" s="5"/>
      <c r="D118" s="5"/>
      <c r="E118" s="5"/>
      <c r="F118" s="5"/>
      <c r="G118" s="5"/>
      <c r="H118" s="5"/>
      <c r="I118" s="5"/>
      <c r="J118" s="5"/>
      <c r="K118" s="5"/>
      <c r="L118" s="5"/>
      <c r="M118" s="5"/>
      <c r="N118" s="5"/>
      <c r="O118" s="5"/>
      <c r="P118" s="5"/>
      <c r="Q118" s="5"/>
      <c r="R118" s="5"/>
      <c r="S118" s="5"/>
      <c r="T118" s="5"/>
      <c r="U118" s="5"/>
      <c r="V118" s="5"/>
      <c r="W118" s="5"/>
      <c r="X118" s="5"/>
      <c r="Y118" s="5"/>
      <c r="Z118" s="5"/>
    </row>
    <row r="119" customFormat="false" ht="13.5" hidden="false" customHeight="true" outlineLevel="0" collapsed="false">
      <c r="A119" s="7" t="s">
        <v>274</v>
      </c>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customFormat="false" ht="14.25" hidden="false" customHeight="true" outlineLevel="0" collapsed="false">
      <c r="A120" s="10" t="s">
        <v>275</v>
      </c>
      <c r="B120" s="7" t="n">
        <v>0</v>
      </c>
      <c r="C120" s="5"/>
      <c r="D120" s="5"/>
      <c r="E120" s="5"/>
      <c r="F120" s="5"/>
      <c r="G120" s="5"/>
      <c r="H120" s="5"/>
      <c r="I120" s="5"/>
      <c r="J120" s="5"/>
      <c r="K120" s="5"/>
      <c r="L120" s="5"/>
      <c r="M120" s="5"/>
      <c r="N120" s="5"/>
      <c r="O120" s="5"/>
      <c r="P120" s="5"/>
      <c r="Q120" s="5"/>
      <c r="R120" s="5"/>
      <c r="S120" s="5"/>
      <c r="T120" s="5"/>
      <c r="U120" s="5"/>
      <c r="V120" s="5"/>
      <c r="W120" s="5"/>
      <c r="X120" s="5"/>
      <c r="Y120" s="5"/>
      <c r="Z120" s="5"/>
    </row>
    <row r="121" customFormat="false" ht="14.25" hidden="false" customHeight="true" outlineLevel="0" collapsed="false">
      <c r="A121" s="7" t="s">
        <v>276</v>
      </c>
      <c r="B121" s="25" t="n">
        <v>0</v>
      </c>
      <c r="C121" s="5"/>
      <c r="D121" s="5"/>
      <c r="E121" s="5"/>
      <c r="F121" s="5"/>
      <c r="G121" s="5"/>
      <c r="H121" s="5"/>
      <c r="I121" s="5"/>
      <c r="J121" s="5"/>
      <c r="K121" s="5"/>
      <c r="L121" s="5"/>
      <c r="M121" s="5"/>
      <c r="N121" s="5"/>
      <c r="O121" s="5"/>
      <c r="P121" s="5"/>
      <c r="Q121" s="5"/>
      <c r="R121" s="5"/>
      <c r="S121" s="5"/>
      <c r="T121" s="5"/>
      <c r="U121" s="5"/>
      <c r="V121" s="5"/>
      <c r="W121" s="5"/>
      <c r="X121" s="5"/>
      <c r="Y121" s="5"/>
      <c r="Z121" s="5"/>
    </row>
    <row r="122" customFormat="false" ht="14.25" hidden="false" customHeight="true" outlineLevel="0" collapsed="false">
      <c r="A122" s="7" t="s">
        <v>277</v>
      </c>
      <c r="B122" s="25" t="s">
        <v>146</v>
      </c>
      <c r="C122" s="5"/>
      <c r="D122" s="5"/>
      <c r="E122" s="5"/>
      <c r="F122" s="5"/>
      <c r="G122" s="5"/>
      <c r="H122" s="5"/>
      <c r="I122" s="5"/>
      <c r="J122" s="5"/>
      <c r="K122" s="5"/>
      <c r="L122" s="5"/>
      <c r="M122" s="5"/>
      <c r="N122" s="5"/>
      <c r="O122" s="5"/>
      <c r="P122" s="5"/>
      <c r="Q122" s="5"/>
      <c r="R122" s="5"/>
      <c r="S122" s="5"/>
      <c r="T122" s="5"/>
      <c r="U122" s="5"/>
      <c r="V122" s="5"/>
      <c r="W122" s="5"/>
      <c r="X122" s="5"/>
      <c r="Y122" s="5"/>
      <c r="Z122" s="5"/>
    </row>
    <row r="123" customFormat="false" ht="14.25" hidden="false" customHeight="true" outlineLevel="0" collapsed="false">
      <c r="A123" s="7" t="s">
        <v>278</v>
      </c>
      <c r="B123" s="25" t="n">
        <v>0</v>
      </c>
      <c r="C123" s="5"/>
      <c r="D123" s="5"/>
      <c r="E123" s="5"/>
      <c r="F123" s="5"/>
      <c r="G123" s="5"/>
      <c r="H123" s="5"/>
      <c r="I123" s="5"/>
      <c r="J123" s="5"/>
      <c r="K123" s="5"/>
      <c r="L123" s="5"/>
      <c r="M123" s="5"/>
      <c r="N123" s="5"/>
      <c r="O123" s="5"/>
      <c r="P123" s="5"/>
      <c r="Q123" s="5"/>
      <c r="R123" s="5"/>
      <c r="S123" s="5"/>
      <c r="T123" s="5"/>
      <c r="U123" s="5"/>
      <c r="V123" s="5"/>
      <c r="W123" s="5"/>
      <c r="X123" s="5"/>
      <c r="Y123" s="5"/>
      <c r="Z123" s="5"/>
    </row>
    <row r="124" customFormat="false" ht="14.25" hidden="false" customHeight="true" outlineLevel="0" collapsed="false">
      <c r="A124" s="7" t="s">
        <v>279</v>
      </c>
      <c r="B124" s="25" t="s">
        <v>15</v>
      </c>
      <c r="C124" s="7" t="s">
        <v>280</v>
      </c>
      <c r="D124" s="5"/>
      <c r="E124" s="5"/>
      <c r="F124" s="5"/>
      <c r="G124" s="5"/>
      <c r="H124" s="5"/>
      <c r="I124" s="5"/>
      <c r="J124" s="5"/>
      <c r="K124" s="5"/>
      <c r="L124" s="5"/>
      <c r="M124" s="5"/>
      <c r="N124" s="5"/>
      <c r="O124" s="5"/>
      <c r="P124" s="5"/>
      <c r="Q124" s="5"/>
      <c r="R124" s="5"/>
      <c r="S124" s="5"/>
      <c r="T124" s="5"/>
      <c r="U124" s="5"/>
      <c r="V124" s="5"/>
      <c r="W124" s="5"/>
      <c r="X124" s="5"/>
      <c r="Y124" s="5"/>
      <c r="Z124" s="5"/>
    </row>
    <row r="125" customFormat="false" ht="14.25" hidden="false" customHeight="true" outlineLevel="0" collapsed="false">
      <c r="A125" s="7" t="s">
        <v>281</v>
      </c>
      <c r="B125" s="25" t="s">
        <v>27</v>
      </c>
      <c r="C125" s="5"/>
      <c r="D125" s="5"/>
      <c r="E125" s="5"/>
      <c r="F125" s="5"/>
      <c r="G125" s="5"/>
      <c r="H125" s="5"/>
      <c r="I125" s="5"/>
      <c r="J125" s="5"/>
      <c r="K125" s="5"/>
      <c r="L125" s="5"/>
      <c r="M125" s="5"/>
      <c r="N125" s="5"/>
      <c r="O125" s="5"/>
      <c r="P125" s="5"/>
      <c r="Q125" s="5"/>
      <c r="R125" s="5"/>
      <c r="S125" s="5"/>
      <c r="T125" s="5"/>
      <c r="U125" s="5"/>
      <c r="V125" s="5"/>
      <c r="W125" s="5"/>
      <c r="X125" s="5"/>
      <c r="Y125" s="5"/>
      <c r="Z125" s="5"/>
    </row>
    <row r="126" customFormat="false" ht="13.5" hidden="false" customHeight="true" outlineLevel="0" collapsed="false">
      <c r="A126" s="7" t="s">
        <v>282</v>
      </c>
      <c r="B126" s="7" t="s">
        <v>283</v>
      </c>
      <c r="C126" s="5"/>
      <c r="D126" s="5"/>
      <c r="E126" s="5"/>
      <c r="F126" s="5"/>
      <c r="G126" s="5"/>
      <c r="H126" s="5"/>
      <c r="I126" s="5"/>
      <c r="J126" s="5"/>
      <c r="K126" s="5"/>
      <c r="L126" s="5"/>
      <c r="M126" s="5"/>
      <c r="N126" s="5"/>
      <c r="O126" s="5"/>
      <c r="P126" s="5"/>
      <c r="Q126" s="5"/>
      <c r="R126" s="5"/>
      <c r="S126" s="5"/>
      <c r="T126" s="5"/>
      <c r="U126" s="5"/>
      <c r="V126" s="5"/>
      <c r="W126" s="5"/>
      <c r="X126" s="5"/>
      <c r="Y126" s="5"/>
      <c r="Z126" s="5"/>
    </row>
    <row r="127" customFormat="false" ht="14.25" hidden="false" customHeight="true" outlineLevel="0" collapsed="false">
      <c r="A127" s="7" t="s">
        <v>282</v>
      </c>
      <c r="B127" s="25" t="s">
        <v>283</v>
      </c>
      <c r="C127" s="5"/>
      <c r="D127" s="5"/>
      <c r="E127" s="5"/>
      <c r="F127" s="5"/>
      <c r="G127" s="5"/>
      <c r="H127" s="5"/>
      <c r="I127" s="5"/>
      <c r="J127" s="5"/>
      <c r="K127" s="5"/>
      <c r="L127" s="5"/>
      <c r="M127" s="5"/>
      <c r="N127" s="5"/>
      <c r="O127" s="5"/>
      <c r="P127" s="5"/>
      <c r="Q127" s="5"/>
      <c r="R127" s="5"/>
      <c r="S127" s="5"/>
      <c r="T127" s="5"/>
      <c r="U127" s="5"/>
      <c r="V127" s="5"/>
      <c r="W127" s="5"/>
      <c r="X127" s="5"/>
      <c r="Y127" s="5"/>
      <c r="Z127" s="5"/>
    </row>
    <row r="128" customFormat="false" ht="13.5" hidden="false" customHeight="true" outlineLevel="0" collapsed="false">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customFormat="false" ht="15" hidden="false" customHeight="true" outlineLevel="0" collapsed="false">
      <c r="A129" s="27" t="s">
        <v>284</v>
      </c>
      <c r="B129" s="28"/>
      <c r="C129" s="28"/>
      <c r="D129" s="5"/>
      <c r="E129" s="5"/>
      <c r="F129" s="5"/>
      <c r="G129" s="5"/>
      <c r="H129" s="5"/>
      <c r="I129" s="5"/>
      <c r="J129" s="5"/>
      <c r="K129" s="5"/>
      <c r="L129" s="5"/>
      <c r="M129" s="5"/>
      <c r="N129" s="5"/>
      <c r="O129" s="5"/>
      <c r="P129" s="5"/>
      <c r="Q129" s="5"/>
      <c r="R129" s="5"/>
      <c r="S129" s="5"/>
      <c r="T129" s="5"/>
      <c r="U129" s="5"/>
      <c r="V129" s="5"/>
      <c r="W129" s="5"/>
      <c r="X129" s="5"/>
      <c r="Y129" s="5"/>
      <c r="Z129" s="5"/>
    </row>
    <row r="130" customFormat="false" ht="13.5" hidden="false" customHeight="true" outlineLevel="0" collapsed="false">
      <c r="A130" s="29" t="s">
        <v>285</v>
      </c>
      <c r="B130" s="29" t="n">
        <v>1</v>
      </c>
      <c r="C130" s="30" t="s">
        <v>286</v>
      </c>
      <c r="D130" s="5"/>
      <c r="E130" s="5"/>
      <c r="F130" s="5"/>
      <c r="G130" s="5"/>
      <c r="H130" s="5"/>
      <c r="I130" s="5"/>
      <c r="J130" s="5"/>
      <c r="K130" s="5"/>
      <c r="L130" s="5"/>
      <c r="M130" s="5"/>
      <c r="N130" s="5"/>
      <c r="O130" s="5"/>
      <c r="P130" s="5"/>
      <c r="Q130" s="5"/>
      <c r="R130" s="5"/>
      <c r="S130" s="5"/>
      <c r="T130" s="5"/>
      <c r="U130" s="5"/>
      <c r="V130" s="5"/>
      <c r="W130" s="5"/>
      <c r="X130" s="5"/>
      <c r="Y130" s="5"/>
      <c r="Z130" s="5"/>
    </row>
    <row r="131" customFormat="false" ht="13.5" hidden="false" customHeight="true" outlineLevel="0" collapsed="false">
      <c r="A131" s="29" t="s">
        <v>287</v>
      </c>
      <c r="B131" s="29" t="s">
        <v>288</v>
      </c>
      <c r="C131" s="28"/>
      <c r="D131" s="5"/>
      <c r="E131" s="5"/>
      <c r="F131" s="5"/>
      <c r="G131" s="5"/>
      <c r="H131" s="5"/>
      <c r="I131" s="5"/>
      <c r="J131" s="5"/>
      <c r="K131" s="5"/>
      <c r="L131" s="5"/>
      <c r="M131" s="5"/>
      <c r="N131" s="5"/>
      <c r="O131" s="5"/>
      <c r="P131" s="5"/>
      <c r="Q131" s="5"/>
      <c r="R131" s="5"/>
      <c r="S131" s="5"/>
      <c r="T131" s="5"/>
      <c r="U131" s="5"/>
      <c r="V131" s="5"/>
      <c r="W131" s="5"/>
      <c r="X131" s="5"/>
      <c r="Y131" s="5"/>
      <c r="Z131" s="5"/>
    </row>
    <row r="132" customFormat="false" ht="13.5" hidden="false" customHeight="true" outlineLevel="0" collapsed="false">
      <c r="A132" s="29" t="s">
        <v>289</v>
      </c>
      <c r="B132" s="29" t="s">
        <v>290</v>
      </c>
      <c r="C132" s="30" t="s">
        <v>291</v>
      </c>
      <c r="D132" s="5"/>
      <c r="E132" s="5"/>
      <c r="F132" s="5"/>
      <c r="G132" s="5"/>
      <c r="H132" s="5"/>
      <c r="I132" s="5"/>
      <c r="J132" s="5"/>
      <c r="K132" s="5"/>
      <c r="L132" s="5"/>
      <c r="M132" s="5"/>
      <c r="N132" s="5"/>
      <c r="O132" s="5"/>
      <c r="P132" s="5"/>
      <c r="Q132" s="5"/>
      <c r="R132" s="5"/>
      <c r="S132" s="5"/>
      <c r="T132" s="5"/>
      <c r="U132" s="5"/>
      <c r="V132" s="5"/>
      <c r="W132" s="5"/>
      <c r="X132" s="5"/>
      <c r="Y132" s="5"/>
      <c r="Z132" s="5"/>
    </row>
    <row r="133" customFormat="false" ht="13.5" hidden="false" customHeight="true" outlineLevel="0" collapsed="false">
      <c r="A133" s="29" t="s">
        <v>292</v>
      </c>
      <c r="B133" s="29" t="s">
        <v>293</v>
      </c>
      <c r="C133" s="30" t="s">
        <v>294</v>
      </c>
      <c r="D133" s="5"/>
      <c r="E133" s="5"/>
      <c r="F133" s="5"/>
      <c r="G133" s="5"/>
      <c r="H133" s="5"/>
      <c r="I133" s="5"/>
      <c r="J133" s="5"/>
      <c r="K133" s="5"/>
      <c r="L133" s="5"/>
      <c r="M133" s="5"/>
      <c r="N133" s="5"/>
      <c r="O133" s="5"/>
      <c r="P133" s="5"/>
      <c r="Q133" s="5"/>
      <c r="R133" s="5"/>
      <c r="S133" s="5"/>
      <c r="T133" s="5"/>
      <c r="U133" s="5"/>
      <c r="V133" s="5"/>
      <c r="W133" s="5"/>
      <c r="X133" s="5"/>
      <c r="Y133" s="5"/>
      <c r="Z133" s="5"/>
    </row>
    <row r="134" customFormat="false" ht="13.5" hidden="false" customHeight="true" outlineLevel="0" collapsed="false">
      <c r="A134" s="29" t="s">
        <v>295</v>
      </c>
      <c r="B134" s="29" t="s">
        <v>296</v>
      </c>
      <c r="C134" s="28"/>
      <c r="D134" s="5"/>
      <c r="E134" s="5"/>
      <c r="F134" s="5"/>
      <c r="G134" s="5"/>
      <c r="H134" s="5"/>
      <c r="I134" s="5"/>
      <c r="J134" s="5"/>
      <c r="K134" s="5"/>
      <c r="L134" s="5"/>
      <c r="M134" s="5"/>
      <c r="N134" s="5"/>
      <c r="O134" s="5"/>
      <c r="P134" s="5"/>
      <c r="Q134" s="5"/>
      <c r="R134" s="5"/>
      <c r="S134" s="5"/>
      <c r="T134" s="5"/>
      <c r="U134" s="5"/>
      <c r="V134" s="5"/>
      <c r="W134" s="5"/>
      <c r="X134" s="5"/>
      <c r="Y134" s="5"/>
      <c r="Z134" s="5"/>
    </row>
    <row r="135" customFormat="false" ht="13.5" hidden="false" customHeight="true" outlineLevel="0" collapsed="false">
      <c r="A135" s="29" t="s">
        <v>297</v>
      </c>
      <c r="B135" s="29" t="s">
        <v>298</v>
      </c>
      <c r="C135" s="28"/>
      <c r="D135" s="5"/>
      <c r="E135" s="5"/>
      <c r="F135" s="5"/>
      <c r="G135" s="5"/>
      <c r="H135" s="5"/>
      <c r="I135" s="5"/>
      <c r="J135" s="5"/>
      <c r="K135" s="5"/>
      <c r="L135" s="5"/>
      <c r="M135" s="5"/>
      <c r="N135" s="5"/>
      <c r="O135" s="5"/>
      <c r="P135" s="5"/>
      <c r="Q135" s="5"/>
      <c r="R135" s="5"/>
      <c r="S135" s="5"/>
      <c r="T135" s="5"/>
      <c r="U135" s="5"/>
      <c r="V135" s="5"/>
      <c r="W135" s="5"/>
      <c r="X135" s="5"/>
      <c r="Y135" s="5"/>
      <c r="Z135" s="5"/>
    </row>
    <row r="136" customFormat="false" ht="13.5" hidden="false" customHeight="true" outlineLevel="0" collapsed="false">
      <c r="A136" s="29" t="s">
        <v>299</v>
      </c>
      <c r="B136" s="29"/>
      <c r="C136" s="30"/>
      <c r="D136" s="5"/>
      <c r="E136" s="5"/>
      <c r="F136" s="5"/>
      <c r="G136" s="5"/>
      <c r="H136" s="5"/>
      <c r="I136" s="5"/>
      <c r="J136" s="5"/>
      <c r="K136" s="5"/>
      <c r="L136" s="5"/>
      <c r="M136" s="5"/>
      <c r="N136" s="5"/>
      <c r="O136" s="5"/>
      <c r="P136" s="5"/>
      <c r="Q136" s="5"/>
      <c r="R136" s="5"/>
      <c r="S136" s="5"/>
      <c r="T136" s="5"/>
      <c r="U136" s="5"/>
      <c r="V136" s="5"/>
      <c r="W136" s="5"/>
      <c r="X136" s="5"/>
      <c r="Y136" s="5"/>
      <c r="Z136" s="5"/>
    </row>
    <row r="137" customFormat="false" ht="33.75" hidden="false" customHeight="true" outlineLevel="0" collapsed="false">
      <c r="A137" s="29" t="s">
        <v>300</v>
      </c>
      <c r="B137" s="29" t="s">
        <v>8</v>
      </c>
      <c r="C137" s="30"/>
      <c r="D137" s="5"/>
      <c r="E137" s="5"/>
      <c r="F137" s="5"/>
      <c r="G137" s="5"/>
      <c r="H137" s="5"/>
      <c r="I137" s="5"/>
      <c r="J137" s="5"/>
      <c r="K137" s="5"/>
      <c r="L137" s="5"/>
      <c r="M137" s="5"/>
      <c r="N137" s="5"/>
      <c r="O137" s="5"/>
      <c r="P137" s="5"/>
      <c r="Q137" s="5"/>
      <c r="R137" s="5"/>
      <c r="S137" s="5"/>
      <c r="T137" s="5"/>
      <c r="U137" s="5"/>
      <c r="V137" s="5"/>
      <c r="W137" s="5"/>
      <c r="X137" s="5"/>
      <c r="Y137" s="5"/>
      <c r="Z137" s="5"/>
    </row>
    <row r="138" customFormat="false" ht="12.75" hidden="false" customHeight="true" outlineLevel="0" collapsed="false">
      <c r="A138" s="7" t="s">
        <v>127</v>
      </c>
      <c r="B138" s="7" t="s">
        <v>128</v>
      </c>
      <c r="C138" s="5"/>
      <c r="D138" s="5"/>
      <c r="E138" s="5"/>
      <c r="F138" s="5"/>
      <c r="G138" s="5"/>
      <c r="H138" s="5"/>
      <c r="I138" s="5"/>
      <c r="J138" s="5"/>
      <c r="K138" s="5"/>
      <c r="L138" s="5"/>
      <c r="M138" s="5"/>
      <c r="N138" s="5"/>
      <c r="O138" s="5"/>
      <c r="P138" s="5"/>
      <c r="Q138" s="5"/>
      <c r="R138" s="5"/>
      <c r="S138" s="5"/>
      <c r="T138" s="5"/>
      <c r="U138" s="5"/>
      <c r="V138" s="5"/>
      <c r="W138" s="5"/>
      <c r="X138" s="5"/>
      <c r="Y138" s="5"/>
      <c r="Z138" s="5"/>
    </row>
    <row r="139" customFormat="false" ht="12.75" hidden="false" customHeight="true" outlineLevel="0" collapsed="false">
      <c r="A139" s="7" t="s">
        <v>301</v>
      </c>
      <c r="B139" s="7" t="s">
        <v>132</v>
      </c>
      <c r="C139" s="5"/>
      <c r="D139" s="5"/>
      <c r="E139" s="5"/>
      <c r="F139" s="5"/>
      <c r="G139" s="5"/>
      <c r="H139" s="5"/>
      <c r="I139" s="5"/>
      <c r="J139" s="5"/>
      <c r="K139" s="5"/>
      <c r="L139" s="5"/>
      <c r="M139" s="5"/>
      <c r="N139" s="5"/>
      <c r="O139" s="5"/>
      <c r="P139" s="5"/>
      <c r="Q139" s="5"/>
      <c r="R139" s="5"/>
      <c r="S139" s="5"/>
      <c r="T139" s="5"/>
      <c r="U139" s="5"/>
      <c r="V139" s="5"/>
      <c r="W139" s="5"/>
      <c r="X139" s="5"/>
      <c r="Y139" s="5"/>
      <c r="Z139" s="5"/>
    </row>
    <row r="140" customFormat="false" ht="12.75" hidden="false" customHeight="true" outlineLevel="0" collapsed="false">
      <c r="A140" s="7" t="s">
        <v>302</v>
      </c>
      <c r="B140" s="7" t="s">
        <v>136</v>
      </c>
      <c r="C140" s="5"/>
      <c r="D140" s="5"/>
      <c r="E140" s="5"/>
      <c r="F140" s="5"/>
      <c r="G140" s="5"/>
      <c r="H140" s="5"/>
      <c r="I140" s="5"/>
      <c r="J140" s="5"/>
      <c r="K140" s="5"/>
      <c r="L140" s="5"/>
      <c r="M140" s="5"/>
      <c r="N140" s="5"/>
      <c r="O140" s="5"/>
      <c r="P140" s="5"/>
      <c r="Q140" s="5"/>
      <c r="R140" s="5"/>
      <c r="S140" s="5"/>
      <c r="T140" s="5"/>
      <c r="U140" s="5"/>
      <c r="V140" s="5"/>
      <c r="W140" s="5"/>
      <c r="X140" s="5"/>
      <c r="Y140" s="5"/>
      <c r="Z140" s="5"/>
    </row>
    <row r="141" customFormat="false" ht="12.75" hidden="false" customHeight="true" outlineLevel="0" collapsed="false">
      <c r="A141" s="7" t="s">
        <v>303</v>
      </c>
      <c r="B141" s="7" t="s">
        <v>304</v>
      </c>
      <c r="C141" s="5"/>
      <c r="D141" s="5"/>
      <c r="E141" s="5"/>
      <c r="F141" s="5"/>
      <c r="G141" s="5"/>
      <c r="H141" s="5"/>
      <c r="I141" s="5"/>
      <c r="J141" s="5"/>
      <c r="K141" s="5"/>
      <c r="L141" s="5"/>
      <c r="M141" s="5"/>
      <c r="N141" s="5"/>
      <c r="O141" s="5"/>
      <c r="P141" s="5"/>
      <c r="Q141" s="5"/>
      <c r="R141" s="5"/>
      <c r="S141" s="5"/>
      <c r="T141" s="5"/>
      <c r="U141" s="5"/>
      <c r="V141" s="5"/>
      <c r="W141" s="5"/>
      <c r="X141" s="5"/>
      <c r="Y141" s="5"/>
      <c r="Z141" s="5"/>
    </row>
    <row r="142" customFormat="false" ht="12.75" hidden="false" customHeight="true" outlineLevel="0" collapsed="false">
      <c r="A142" s="7" t="s">
        <v>305</v>
      </c>
      <c r="B142" s="7" t="s">
        <v>306</v>
      </c>
      <c r="C142" s="5"/>
      <c r="D142" s="5"/>
      <c r="E142" s="5"/>
      <c r="F142" s="5"/>
      <c r="G142" s="5"/>
      <c r="H142" s="5"/>
      <c r="I142" s="5"/>
      <c r="J142" s="5"/>
      <c r="K142" s="5"/>
      <c r="L142" s="5"/>
      <c r="M142" s="5"/>
      <c r="N142" s="5"/>
      <c r="O142" s="5"/>
      <c r="P142" s="5"/>
      <c r="Q142" s="5"/>
      <c r="R142" s="5"/>
      <c r="S142" s="5"/>
      <c r="T142" s="5"/>
      <c r="U142" s="5"/>
      <c r="V142" s="5"/>
      <c r="W142" s="5"/>
      <c r="X142" s="5"/>
      <c r="Y142" s="5"/>
      <c r="Z142" s="5"/>
    </row>
    <row r="143" customFormat="false" ht="12.75" hidden="false" customHeight="true" outlineLevel="0" collapsed="false">
      <c r="A143" s="7" t="s">
        <v>307</v>
      </c>
      <c r="B143" s="7" t="s">
        <v>308</v>
      </c>
      <c r="C143" s="5"/>
      <c r="D143" s="5"/>
      <c r="E143" s="5"/>
      <c r="F143" s="5"/>
      <c r="G143" s="5"/>
      <c r="H143" s="5"/>
      <c r="I143" s="5"/>
      <c r="J143" s="5"/>
      <c r="K143" s="5"/>
      <c r="L143" s="5"/>
      <c r="M143" s="5"/>
      <c r="N143" s="5"/>
      <c r="O143" s="5"/>
      <c r="P143" s="5"/>
      <c r="Q143" s="5"/>
      <c r="R143" s="5"/>
      <c r="S143" s="5"/>
      <c r="T143" s="5"/>
      <c r="U143" s="5"/>
      <c r="V143" s="5"/>
      <c r="W143" s="5"/>
      <c r="X143" s="5"/>
      <c r="Y143" s="5"/>
      <c r="Z143" s="5"/>
    </row>
    <row r="144" customFormat="false" ht="12.75" hidden="false" customHeight="true" outlineLevel="0" collapsed="false">
      <c r="A144" s="7" t="s">
        <v>309</v>
      </c>
      <c r="B144" s="7" t="s">
        <v>310</v>
      </c>
      <c r="C144" s="5"/>
      <c r="D144" s="5"/>
      <c r="E144" s="5"/>
      <c r="F144" s="5"/>
      <c r="G144" s="5"/>
      <c r="H144" s="5"/>
      <c r="I144" s="5"/>
      <c r="J144" s="5"/>
      <c r="K144" s="5"/>
      <c r="L144" s="5"/>
      <c r="M144" s="5"/>
      <c r="N144" s="5"/>
      <c r="O144" s="5"/>
      <c r="P144" s="5"/>
      <c r="Q144" s="5"/>
      <c r="R144" s="5"/>
      <c r="S144" s="5"/>
      <c r="T144" s="5"/>
      <c r="U144" s="5"/>
      <c r="V144" s="5"/>
      <c r="W144" s="5"/>
      <c r="X144" s="5"/>
      <c r="Y144" s="5"/>
      <c r="Z144" s="5"/>
    </row>
    <row r="145" customFormat="false" ht="12.75" hidden="false" customHeight="true" outlineLevel="0" collapsed="false">
      <c r="A145" s="7" t="s">
        <v>311</v>
      </c>
      <c r="B145" s="5" t="s">
        <v>312</v>
      </c>
      <c r="C145" s="5"/>
      <c r="D145" s="5"/>
      <c r="E145" s="5"/>
      <c r="F145" s="5"/>
      <c r="G145" s="5"/>
      <c r="H145" s="5"/>
      <c r="I145" s="5"/>
      <c r="J145" s="5"/>
      <c r="K145" s="5"/>
      <c r="L145" s="5"/>
      <c r="M145" s="5"/>
      <c r="N145" s="5"/>
      <c r="O145" s="5"/>
      <c r="P145" s="5"/>
      <c r="Q145" s="5"/>
      <c r="R145" s="5"/>
      <c r="S145" s="5"/>
      <c r="T145" s="5"/>
      <c r="U145" s="5"/>
      <c r="V145" s="5"/>
      <c r="W145" s="5"/>
      <c r="X145" s="5"/>
      <c r="Y145" s="5"/>
      <c r="Z145" s="5"/>
    </row>
    <row r="146" customFormat="false" ht="12.75" hidden="false" customHeight="true" outlineLevel="0" collapsed="false">
      <c r="A146" s="7" t="s">
        <v>313</v>
      </c>
      <c r="B146" s="7"/>
      <c r="C146" s="7"/>
      <c r="D146" s="5"/>
      <c r="E146" s="5"/>
      <c r="F146" s="5"/>
      <c r="G146" s="5"/>
      <c r="H146" s="5"/>
      <c r="I146" s="5"/>
      <c r="J146" s="5"/>
      <c r="K146" s="5"/>
      <c r="L146" s="5"/>
      <c r="M146" s="5"/>
      <c r="N146" s="5"/>
      <c r="O146" s="5"/>
      <c r="P146" s="5"/>
      <c r="Q146" s="5"/>
      <c r="R146" s="5"/>
      <c r="S146" s="5"/>
      <c r="T146" s="5"/>
      <c r="U146" s="5"/>
      <c r="V146" s="5"/>
      <c r="W146" s="5"/>
      <c r="X146" s="5"/>
      <c r="Y146" s="5"/>
      <c r="Z146" s="5"/>
    </row>
    <row r="147" customFormat="false" ht="12.75" hidden="false" customHeight="true" outlineLevel="0" collapsed="false">
      <c r="A147" s="7" t="s">
        <v>314</v>
      </c>
      <c r="B147" s="7" t="s">
        <v>315</v>
      </c>
      <c r="C147" s="7" t="s">
        <v>316</v>
      </c>
      <c r="D147" s="5"/>
      <c r="E147" s="5"/>
      <c r="F147" s="5"/>
      <c r="G147" s="5"/>
      <c r="H147" s="5"/>
      <c r="I147" s="5"/>
      <c r="J147" s="5"/>
      <c r="K147" s="5"/>
      <c r="L147" s="5"/>
      <c r="M147" s="5"/>
      <c r="N147" s="5"/>
      <c r="O147" s="5"/>
      <c r="P147" s="5"/>
      <c r="Q147" s="5"/>
      <c r="R147" s="5"/>
      <c r="S147" s="5"/>
      <c r="T147" s="5"/>
      <c r="U147" s="5"/>
      <c r="V147" s="5"/>
      <c r="W147" s="5"/>
      <c r="X147" s="5"/>
      <c r="Y147" s="5"/>
      <c r="Z147" s="5"/>
    </row>
    <row r="148" customFormat="false" ht="12.75" hidden="false" customHeight="true" outlineLevel="0" collapsed="false">
      <c r="A148" s="7" t="s">
        <v>317</v>
      </c>
      <c r="B148" s="7" t="s">
        <v>318</v>
      </c>
      <c r="C148" s="7" t="s">
        <v>319</v>
      </c>
      <c r="D148" s="5"/>
      <c r="E148" s="5"/>
      <c r="F148" s="5"/>
      <c r="G148" s="5"/>
      <c r="H148" s="5"/>
      <c r="I148" s="5"/>
      <c r="J148" s="5"/>
      <c r="K148" s="5"/>
      <c r="L148" s="5"/>
      <c r="M148" s="5"/>
      <c r="N148" s="5"/>
      <c r="O148" s="5"/>
      <c r="P148" s="5"/>
      <c r="Q148" s="5"/>
      <c r="R148" s="5"/>
      <c r="S148" s="5"/>
      <c r="T148" s="5"/>
      <c r="U148" s="5"/>
      <c r="V148" s="5"/>
      <c r="W148" s="5"/>
      <c r="X148" s="5"/>
      <c r="Y148" s="5"/>
      <c r="Z148" s="5"/>
    </row>
    <row r="149" customFormat="false" ht="12.75" hidden="false" customHeight="true" outlineLevel="0" collapsed="false">
      <c r="A149" s="7" t="s">
        <v>320</v>
      </c>
      <c r="B149" s="7" t="s">
        <v>318</v>
      </c>
      <c r="C149" s="7" t="s">
        <v>321</v>
      </c>
      <c r="D149" s="5"/>
      <c r="E149" s="5"/>
      <c r="F149" s="5"/>
      <c r="G149" s="5"/>
      <c r="H149" s="5"/>
      <c r="I149" s="5"/>
      <c r="J149" s="5"/>
      <c r="K149" s="5"/>
      <c r="L149" s="5"/>
      <c r="M149" s="5"/>
      <c r="N149" s="5"/>
      <c r="O149" s="5"/>
      <c r="P149" s="5"/>
      <c r="Q149" s="5"/>
      <c r="R149" s="5"/>
      <c r="S149" s="5"/>
      <c r="T149" s="5"/>
      <c r="U149" s="5"/>
      <c r="V149" s="5"/>
      <c r="W149" s="5"/>
      <c r="X149" s="5"/>
      <c r="Y149" s="5"/>
      <c r="Z149" s="5"/>
    </row>
    <row r="150" customFormat="false" ht="12.75" hidden="false" customHeight="true" outlineLevel="0" collapsed="false">
      <c r="A150" s="7" t="s">
        <v>322</v>
      </c>
      <c r="B150" s="7" t="s">
        <v>323</v>
      </c>
      <c r="C150" s="7" t="s">
        <v>324</v>
      </c>
      <c r="D150" s="5"/>
      <c r="E150" s="5"/>
      <c r="F150" s="5"/>
      <c r="G150" s="5"/>
      <c r="H150" s="5"/>
      <c r="I150" s="5"/>
      <c r="J150" s="5"/>
      <c r="K150" s="5"/>
      <c r="L150" s="5"/>
      <c r="M150" s="5"/>
      <c r="N150" s="5"/>
      <c r="O150" s="5"/>
      <c r="P150" s="5"/>
      <c r="Q150" s="5"/>
      <c r="R150" s="5"/>
      <c r="S150" s="5"/>
      <c r="T150" s="5"/>
      <c r="U150" s="5"/>
      <c r="V150" s="5"/>
      <c r="W150" s="5"/>
      <c r="X150" s="5"/>
      <c r="Y150" s="5"/>
      <c r="Z150" s="5"/>
    </row>
    <row r="151" customFormat="false" ht="12.75" hidden="false" customHeight="true" outlineLevel="0" collapsed="false">
      <c r="A151" s="7" t="s">
        <v>325</v>
      </c>
      <c r="B151" s="7" t="s">
        <v>326</v>
      </c>
      <c r="C151" s="7" t="s">
        <v>327</v>
      </c>
      <c r="D151" s="5"/>
      <c r="E151" s="5"/>
      <c r="F151" s="5"/>
      <c r="G151" s="5"/>
      <c r="H151" s="5"/>
      <c r="I151" s="5"/>
      <c r="J151" s="5"/>
      <c r="K151" s="5"/>
      <c r="L151" s="5"/>
      <c r="M151" s="5"/>
      <c r="N151" s="5"/>
      <c r="O151" s="5"/>
      <c r="P151" s="5"/>
      <c r="Q151" s="5"/>
      <c r="R151" s="5"/>
      <c r="S151" s="5"/>
      <c r="T151" s="5"/>
      <c r="U151" s="5"/>
      <c r="V151" s="5"/>
      <c r="W151" s="5"/>
      <c r="X151" s="5"/>
      <c r="Y151" s="5"/>
      <c r="Z151" s="5"/>
    </row>
    <row r="152" customFormat="false" ht="14.25" hidden="false" customHeight="false" outlineLevel="0" collapsed="false">
      <c r="A152" s="31"/>
      <c r="B152" s="31"/>
      <c r="C152" s="31"/>
      <c r="D152" s="31"/>
      <c r="E152" s="31"/>
      <c r="F152" s="31"/>
      <c r="G152" s="31"/>
      <c r="H152" s="31"/>
      <c r="I152" s="31"/>
      <c r="J152" s="31"/>
      <c r="K152" s="31"/>
      <c r="L152" s="31"/>
    </row>
    <row r="153" customFormat="false" ht="23.85" hidden="false" customHeight="false" outlineLevel="0" collapsed="false">
      <c r="A153" s="31" t="s">
        <v>328</v>
      </c>
      <c r="B153" s="31"/>
      <c r="C153" s="31"/>
      <c r="D153" s="31"/>
      <c r="E153" s="31"/>
      <c r="F153" s="31"/>
      <c r="G153" s="31"/>
      <c r="H153" s="31"/>
      <c r="I153" s="31"/>
      <c r="J153" s="31"/>
      <c r="K153" s="31"/>
      <c r="L153" s="31"/>
    </row>
    <row r="154" customFormat="false" ht="46.25" hidden="false" customHeight="false" outlineLevel="0" collapsed="false">
      <c r="A154" s="31" t="s">
        <v>329</v>
      </c>
      <c r="B154" s="31" t="s">
        <v>330</v>
      </c>
      <c r="C154" s="31"/>
      <c r="D154" s="31"/>
      <c r="E154" s="31"/>
      <c r="F154" s="31"/>
      <c r="G154" s="31"/>
      <c r="H154" s="31"/>
      <c r="I154" s="31"/>
      <c r="J154" s="31"/>
      <c r="K154" s="31"/>
      <c r="L154" s="31"/>
    </row>
    <row r="155" customFormat="false" ht="46.25" hidden="false" customHeight="false" outlineLevel="0" collapsed="false">
      <c r="A155" s="31" t="s">
        <v>331</v>
      </c>
      <c r="B155" s="31" t="s">
        <v>332</v>
      </c>
      <c r="C155" s="31"/>
      <c r="D155" s="31"/>
      <c r="E155" s="31"/>
      <c r="F155" s="31"/>
      <c r="G155" s="31"/>
      <c r="H155" s="31"/>
      <c r="I155" s="31"/>
      <c r="J155" s="31"/>
      <c r="K155" s="31"/>
      <c r="L155" s="31"/>
    </row>
    <row r="156" customFormat="false" ht="35.05" hidden="false" customHeight="false" outlineLevel="0" collapsed="false">
      <c r="A156" s="31" t="s">
        <v>333</v>
      </c>
      <c r="B156" s="31" t="s">
        <v>334</v>
      </c>
      <c r="C156" s="31"/>
      <c r="D156" s="31"/>
      <c r="E156" s="31"/>
      <c r="F156" s="31"/>
      <c r="G156" s="31"/>
      <c r="H156" s="31"/>
      <c r="I156" s="31"/>
      <c r="J156" s="31"/>
      <c r="K156" s="31"/>
      <c r="L156" s="31"/>
    </row>
    <row r="157" customFormat="false" ht="35.05" hidden="false" customHeight="false" outlineLevel="0" collapsed="false">
      <c r="A157" s="31" t="s">
        <v>335</v>
      </c>
      <c r="B157" s="31" t="s">
        <v>336</v>
      </c>
      <c r="C157" s="31"/>
      <c r="D157" s="31"/>
      <c r="E157" s="31"/>
      <c r="F157" s="31"/>
      <c r="G157" s="31"/>
      <c r="H157" s="31"/>
      <c r="I157" s="31"/>
      <c r="J157" s="31"/>
      <c r="K157" s="31"/>
      <c r="L157" s="31"/>
    </row>
    <row r="158" customFormat="false" ht="14.25" hidden="false" customHeight="false" outlineLevel="0" collapsed="false">
      <c r="A158" s="31"/>
      <c r="B158" s="31"/>
      <c r="C158" s="31"/>
      <c r="D158" s="31"/>
      <c r="E158" s="31"/>
      <c r="F158" s="31"/>
      <c r="G158" s="31"/>
      <c r="H158" s="31"/>
      <c r="I158" s="31"/>
      <c r="J158" s="31"/>
      <c r="K158" s="31"/>
      <c r="L158" s="31"/>
    </row>
    <row r="159" customFormat="false" ht="14.25" hidden="false" customHeight="false" outlineLevel="0" collapsed="false">
      <c r="A159" s="31"/>
      <c r="B159" s="31"/>
      <c r="C159" s="31"/>
      <c r="D159" s="31"/>
      <c r="E159" s="31"/>
      <c r="F159" s="31"/>
      <c r="G159" s="31"/>
      <c r="H159" s="31"/>
      <c r="I159" s="31"/>
      <c r="J159" s="31"/>
      <c r="K159" s="31"/>
      <c r="L159" s="31"/>
    </row>
    <row r="160" customFormat="false" ht="14.25" hidden="false" customHeight="false" outlineLevel="0" collapsed="false">
      <c r="A160" s="31"/>
      <c r="B160" s="31"/>
      <c r="C160" s="31"/>
      <c r="D160" s="31"/>
      <c r="E160" s="31"/>
      <c r="F160" s="31"/>
      <c r="G160" s="31"/>
      <c r="H160" s="31"/>
      <c r="I160" s="31"/>
      <c r="J160" s="31"/>
      <c r="K160" s="31"/>
      <c r="L160" s="31"/>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T9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4.25" customHeight="true" zeroHeight="false" outlineLevelRow="0" outlineLevelCol="0"/>
  <cols>
    <col collapsed="false" customWidth="true" hidden="false" outlineLevel="0" max="1" min="1" style="20" width="36"/>
    <col collapsed="false" customWidth="true" hidden="false" outlineLevel="0" max="2" min="2" style="1" width="36"/>
    <col collapsed="false" customWidth="true" hidden="false" outlineLevel="0" max="3" min="3" style="20" width="35"/>
    <col collapsed="false" customWidth="true" hidden="false" outlineLevel="0" max="5" min="4" style="1" width="36"/>
    <col collapsed="false" customWidth="true" hidden="false" outlineLevel="0" max="6" min="6" style="20" width="36"/>
    <col collapsed="false" customWidth="true" hidden="false" outlineLevel="0" max="7" min="7" style="1" width="36"/>
  </cols>
  <sheetData>
    <row r="1" customFormat="false" ht="17.25" hidden="false" customHeight="true" outlineLevel="0" collapsed="false">
      <c r="A1" s="3" t="s">
        <v>337</v>
      </c>
      <c r="B1" s="3"/>
      <c r="C1" s="3"/>
      <c r="D1" s="3"/>
      <c r="E1" s="3"/>
      <c r="F1" s="3" t="s">
        <v>338</v>
      </c>
      <c r="G1" s="3" t="s">
        <v>339</v>
      </c>
      <c r="H1" s="31"/>
      <c r="I1" s="31"/>
      <c r="J1" s="31"/>
      <c r="K1" s="31"/>
      <c r="L1" s="31"/>
      <c r="M1" s="31"/>
      <c r="N1" s="31"/>
      <c r="O1" s="31"/>
      <c r="P1" s="31"/>
      <c r="Q1" s="31"/>
      <c r="R1" s="31"/>
      <c r="S1" s="31"/>
      <c r="T1" s="31"/>
    </row>
    <row r="2" customFormat="false" ht="14.25" hidden="false" customHeight="true" outlineLevel="0" collapsed="false">
      <c r="A2" s="7" t="s">
        <v>340</v>
      </c>
      <c r="B2" s="5"/>
      <c r="C2" s="5"/>
      <c r="D2" s="5"/>
      <c r="E2" s="5"/>
      <c r="F2" s="5" t="s">
        <v>341</v>
      </c>
      <c r="G2" s="5" t="s">
        <v>342</v>
      </c>
      <c r="H2" s="31"/>
      <c r="I2" s="31"/>
      <c r="J2" s="31"/>
      <c r="K2" s="31"/>
      <c r="L2" s="31"/>
      <c r="M2" s="31"/>
      <c r="N2" s="31"/>
      <c r="O2" s="31"/>
      <c r="P2" s="31"/>
      <c r="Q2" s="31"/>
      <c r="R2" s="31"/>
      <c r="S2" s="31"/>
      <c r="T2" s="31"/>
    </row>
    <row r="3" customFormat="false" ht="15" hidden="false" customHeight="true" outlineLevel="0" collapsed="false">
      <c r="A3" s="7" t="s">
        <v>343</v>
      </c>
      <c r="B3" s="5"/>
      <c r="C3" s="5"/>
      <c r="D3" s="5"/>
      <c r="E3" s="5"/>
      <c r="F3" s="5" t="s">
        <v>344</v>
      </c>
      <c r="G3" s="5" t="s">
        <v>345</v>
      </c>
      <c r="H3" s="31"/>
      <c r="I3" s="31"/>
      <c r="J3" s="31"/>
      <c r="K3" s="31"/>
      <c r="L3" s="31"/>
      <c r="M3" s="31"/>
      <c r="N3" s="31"/>
      <c r="O3" s="31"/>
      <c r="P3" s="31"/>
      <c r="Q3" s="31"/>
      <c r="R3" s="31"/>
      <c r="S3" s="31"/>
      <c r="T3" s="31"/>
    </row>
    <row r="4" customFormat="false" ht="15" hidden="false" customHeight="true" outlineLevel="0" collapsed="false">
      <c r="A4" s="32" t="s">
        <v>346</v>
      </c>
      <c r="B4" s="5"/>
      <c r="C4" s="5"/>
      <c r="D4" s="5"/>
      <c r="E4" s="5"/>
      <c r="F4" s="5" t="s">
        <v>347</v>
      </c>
      <c r="G4" s="5" t="s">
        <v>348</v>
      </c>
      <c r="H4" s="31"/>
      <c r="I4" s="31"/>
      <c r="J4" s="31"/>
      <c r="K4" s="31"/>
      <c r="L4" s="31"/>
      <c r="M4" s="31"/>
      <c r="N4" s="31"/>
      <c r="O4" s="31"/>
      <c r="P4" s="31"/>
      <c r="Q4" s="31"/>
      <c r="R4" s="31"/>
      <c r="S4" s="31"/>
      <c r="T4" s="31"/>
    </row>
    <row r="5" customFormat="false" ht="14.25" hidden="false" customHeight="true" outlineLevel="0" collapsed="false">
      <c r="A5" s="10" t="s">
        <v>349</v>
      </c>
      <c r="B5" s="10" t="s">
        <v>350</v>
      </c>
      <c r="C5" s="10" t="s">
        <v>351</v>
      </c>
      <c r="D5" s="10" t="s">
        <v>352</v>
      </c>
      <c r="E5" s="10" t="s">
        <v>244</v>
      </c>
      <c r="F5" s="10" t="s">
        <v>353</v>
      </c>
      <c r="G5" s="5"/>
      <c r="H5" s="31"/>
      <c r="I5" s="31"/>
      <c r="J5" s="31"/>
      <c r="K5" s="31"/>
      <c r="L5" s="31"/>
      <c r="M5" s="31"/>
      <c r="N5" s="31"/>
      <c r="O5" s="31"/>
      <c r="P5" s="31"/>
      <c r="Q5" s="31"/>
      <c r="R5" s="31"/>
      <c r="S5" s="31"/>
      <c r="T5" s="31"/>
    </row>
    <row r="6" customFormat="false" ht="15" hidden="false" customHeight="true" outlineLevel="0" collapsed="false">
      <c r="A6" s="23" t="s">
        <v>354</v>
      </c>
      <c r="B6" s="23" t="s">
        <v>355</v>
      </c>
      <c r="C6" s="23" t="s">
        <v>4</v>
      </c>
      <c r="D6" s="23" t="s">
        <v>4</v>
      </c>
      <c r="E6" s="33" t="s">
        <v>348</v>
      </c>
      <c r="F6" s="23" t="s">
        <v>356</v>
      </c>
      <c r="G6" s="5"/>
      <c r="H6" s="31"/>
      <c r="I6" s="31"/>
      <c r="J6" s="31"/>
      <c r="K6" s="31"/>
      <c r="L6" s="31"/>
      <c r="M6" s="31"/>
      <c r="N6" s="31"/>
      <c r="O6" s="31"/>
      <c r="P6" s="31"/>
      <c r="Q6" s="31"/>
      <c r="R6" s="31"/>
      <c r="S6" s="31"/>
      <c r="T6" s="31"/>
    </row>
    <row r="7" customFormat="false" ht="15" hidden="false" customHeight="true" outlineLevel="0" collapsed="false">
      <c r="A7" s="7" t="s">
        <v>357</v>
      </c>
      <c r="B7" s="7" t="s">
        <v>358</v>
      </c>
      <c r="C7" s="7" t="s">
        <v>4</v>
      </c>
      <c r="D7" s="7" t="s">
        <v>4</v>
      </c>
      <c r="E7" s="34" t="s">
        <v>348</v>
      </c>
      <c r="F7" s="7" t="s">
        <v>359</v>
      </c>
      <c r="G7" s="5"/>
      <c r="H7" s="31"/>
      <c r="I7" s="31"/>
      <c r="J7" s="31"/>
      <c r="K7" s="31"/>
      <c r="L7" s="31"/>
      <c r="M7" s="31"/>
      <c r="N7" s="31"/>
      <c r="O7" s="31"/>
      <c r="P7" s="31"/>
      <c r="Q7" s="31"/>
      <c r="R7" s="31"/>
      <c r="S7" s="31"/>
      <c r="T7" s="31"/>
    </row>
    <row r="8" customFormat="false" ht="15" hidden="false" customHeight="true" outlineLevel="0" collapsed="false">
      <c r="A8" s="7" t="s">
        <v>360</v>
      </c>
      <c r="B8" s="7" t="s">
        <v>361</v>
      </c>
      <c r="C8" s="7" t="s">
        <v>4</v>
      </c>
      <c r="D8" s="7" t="s">
        <v>4</v>
      </c>
      <c r="E8" s="34" t="s">
        <v>348</v>
      </c>
      <c r="F8" s="7" t="s">
        <v>362</v>
      </c>
      <c r="G8" s="5"/>
      <c r="H8" s="31"/>
      <c r="I8" s="31"/>
      <c r="J8" s="31"/>
      <c r="K8" s="31"/>
      <c r="L8" s="31"/>
      <c r="M8" s="31"/>
      <c r="N8" s="31"/>
      <c r="O8" s="31"/>
      <c r="P8" s="31"/>
      <c r="Q8" s="31"/>
      <c r="R8" s="31"/>
      <c r="S8" s="31"/>
      <c r="T8" s="31"/>
    </row>
    <row r="9" customFormat="false" ht="15" hidden="false" customHeight="true" outlineLevel="0" collapsed="false">
      <c r="A9" s="7" t="s">
        <v>363</v>
      </c>
      <c r="B9" s="7" t="s">
        <v>364</v>
      </c>
      <c r="C9" s="7" t="s">
        <v>8</v>
      </c>
      <c r="D9" s="7" t="s">
        <v>8</v>
      </c>
      <c r="E9" s="34" t="s">
        <v>348</v>
      </c>
      <c r="F9" s="7" t="s">
        <v>365</v>
      </c>
      <c r="G9" s="5"/>
      <c r="H9" s="31"/>
      <c r="I9" s="31"/>
      <c r="J9" s="31"/>
      <c r="K9" s="31"/>
      <c r="L9" s="31"/>
      <c r="M9" s="31"/>
      <c r="N9" s="31"/>
      <c r="O9" s="31"/>
      <c r="P9" s="31"/>
      <c r="Q9" s="31"/>
      <c r="R9" s="31"/>
      <c r="S9" s="31"/>
      <c r="T9" s="31"/>
    </row>
    <row r="10" customFormat="false" ht="15" hidden="false" customHeight="true" outlineLevel="0" collapsed="false">
      <c r="A10" s="7" t="s">
        <v>366</v>
      </c>
      <c r="B10" s="7" t="s">
        <v>367</v>
      </c>
      <c r="C10" s="7" t="n">
        <f aca="false">CANON!B54</f>
        <v>0.0219</v>
      </c>
      <c r="D10" s="7" t="n">
        <f aca="false">TRC!B25</f>
        <v>0.0219</v>
      </c>
      <c r="E10" s="34" t="str">
        <f aca="false">IF(AND(ISNUMBER(C10),ISNUMBER(D10)),IF(ABS(C10-D10)&lt;0.000000001,"PASS","FAIL"),IF(C10=D10,"PASS","FAIL"))</f>
        <v>PASS</v>
      </c>
      <c r="F10" s="7" t="s">
        <v>368</v>
      </c>
      <c r="G10" s="5"/>
      <c r="H10" s="31"/>
      <c r="I10" s="31"/>
      <c r="J10" s="31"/>
      <c r="K10" s="31"/>
      <c r="L10" s="31"/>
      <c r="M10" s="31"/>
      <c r="N10" s="31"/>
      <c r="O10" s="31"/>
      <c r="P10" s="31"/>
      <c r="Q10" s="31"/>
      <c r="R10" s="31"/>
      <c r="S10" s="31"/>
      <c r="T10" s="31"/>
    </row>
    <row r="11" customFormat="false" ht="15" hidden="false" customHeight="true" outlineLevel="0" collapsed="false">
      <c r="A11" s="7" t="s">
        <v>369</v>
      </c>
      <c r="B11" s="7" t="s">
        <v>370</v>
      </c>
      <c r="C11" s="7" t="n">
        <f aca="false">CANON!B55</f>
        <v>0.0315</v>
      </c>
      <c r="D11" s="7" t="n">
        <f aca="false">TRC!B41</f>
        <v>0.0315</v>
      </c>
      <c r="E11" s="34" t="str">
        <f aca="false">IF(AND(ISNUMBER(C11),ISNUMBER(D11)),IF(ABS(C11-D11)&lt;0.000000001,"PASS","FAIL"),IF(C11=D11,"PASS","FAIL"))</f>
        <v>PASS</v>
      </c>
      <c r="F11" s="7" t="s">
        <v>368</v>
      </c>
      <c r="G11" s="5"/>
      <c r="H11" s="31"/>
      <c r="I11" s="31"/>
      <c r="J11" s="31"/>
      <c r="K11" s="31"/>
      <c r="L11" s="31"/>
      <c r="M11" s="31"/>
      <c r="N11" s="31"/>
      <c r="O11" s="31"/>
      <c r="P11" s="31"/>
      <c r="Q11" s="31"/>
      <c r="R11" s="31"/>
      <c r="S11" s="31"/>
      <c r="T11" s="31"/>
    </row>
    <row r="12" customFormat="false" ht="15" hidden="false" customHeight="true" outlineLevel="0" collapsed="false">
      <c r="A12" s="7" t="s">
        <v>371</v>
      </c>
      <c r="B12" s="7" t="s">
        <v>372</v>
      </c>
      <c r="C12" s="7" t="n">
        <f aca="false">CANON!B54</f>
        <v>0.0219</v>
      </c>
      <c r="D12" s="7" t="n">
        <f aca="false">CANON!B54</f>
        <v>0.0219</v>
      </c>
      <c r="E12" s="34" t="str">
        <f aca="false">IF(AND(ISNUMBER(C12),ISNUMBER(D12)),IF(ABS(C12-D12)&lt;0.000000001,"PASS","FAIL"),IF(C12=D12,"PASS","FAIL"))</f>
        <v>PASS</v>
      </c>
      <c r="F12" s="7" t="s">
        <v>373</v>
      </c>
      <c r="G12" s="5"/>
      <c r="H12" s="31"/>
      <c r="I12" s="31"/>
      <c r="J12" s="31"/>
      <c r="K12" s="31"/>
      <c r="L12" s="31"/>
      <c r="M12" s="31"/>
      <c r="N12" s="31"/>
      <c r="O12" s="31"/>
      <c r="P12" s="31"/>
      <c r="Q12" s="31"/>
      <c r="R12" s="31"/>
      <c r="S12" s="31"/>
      <c r="T12" s="31"/>
    </row>
    <row r="13" customFormat="false" ht="15" hidden="false" customHeight="true" outlineLevel="0" collapsed="false">
      <c r="A13" s="7" t="s">
        <v>374</v>
      </c>
      <c r="B13" s="7" t="s">
        <v>375</v>
      </c>
      <c r="C13" s="7" t="n">
        <f aca="false">8</f>
        <v>8</v>
      </c>
      <c r="D13" s="7" t="n">
        <f aca="false">CANON!B38</f>
        <v>8</v>
      </c>
      <c r="E13" s="34" t="str">
        <f aca="false">IF(AND(ISNUMBER(C13),ISNUMBER(D13)),IF(ABS(C13-D13)&lt;0.000000001,"PASS","FAIL"),IF(C13=D13,"PASS","FAIL"))</f>
        <v>PASS</v>
      </c>
      <c r="F13" s="7" t="s">
        <v>376</v>
      </c>
      <c r="G13" s="5"/>
      <c r="H13" s="31"/>
      <c r="I13" s="31"/>
      <c r="J13" s="31"/>
      <c r="K13" s="31"/>
      <c r="L13" s="31"/>
      <c r="M13" s="31"/>
      <c r="N13" s="31"/>
      <c r="O13" s="31"/>
      <c r="P13" s="31"/>
      <c r="Q13" s="31"/>
      <c r="R13" s="31"/>
      <c r="S13" s="31"/>
      <c r="T13" s="31"/>
    </row>
    <row r="14" customFormat="false" ht="15" hidden="false" customHeight="true" outlineLevel="0" collapsed="false">
      <c r="A14" s="7" t="s">
        <v>377</v>
      </c>
      <c r="B14" s="7" t="s">
        <v>378</v>
      </c>
      <c r="C14" s="7" t="n">
        <f aca="false">16</f>
        <v>16</v>
      </c>
      <c r="D14" s="7" t="n">
        <f aca="false">COUNT(NCRC!D8:D15)+COUNT(NCRC!E8:E15)</f>
        <v>16</v>
      </c>
      <c r="E14" s="34" t="str">
        <f aca="false">IF(AND(ISNUMBER(C14),ISNUMBER(D14)),IF(ABS(C14-D14)&lt;0.000000001,"PASS","FAIL"),IF(C14=D14,"PASS","FAIL"))</f>
        <v>PASS</v>
      </c>
      <c r="F14" s="7" t="s">
        <v>379</v>
      </c>
      <c r="G14" s="5"/>
      <c r="H14" s="31"/>
      <c r="I14" s="31"/>
      <c r="J14" s="31"/>
      <c r="K14" s="31"/>
      <c r="L14" s="31"/>
      <c r="M14" s="31"/>
      <c r="N14" s="31"/>
      <c r="O14" s="31"/>
      <c r="P14" s="31"/>
      <c r="Q14" s="31"/>
      <c r="R14" s="31"/>
      <c r="S14" s="31"/>
      <c r="T14" s="31"/>
    </row>
    <row r="15" customFormat="false" ht="15" hidden="false" customHeight="true" outlineLevel="0" collapsed="false">
      <c r="A15" s="7" t="s">
        <v>380</v>
      </c>
      <c r="B15" s="7" t="s">
        <v>381</v>
      </c>
      <c r="C15" s="7" t="str">
        <f aca="false">"PASS"</f>
        <v>PASS</v>
      </c>
      <c r="D15" s="7" t="str">
        <f aca="false">CANON!B51</f>
        <v>PASS</v>
      </c>
      <c r="E15" s="34" t="str">
        <f aca="false">IF(AND(ISNUMBER(C15),ISNUMBER(D15)),IF(ABS(C15-D15)&lt;0.000000001,"PASS","FAIL"),IF(C15=D15,"PASS","FAIL"))</f>
        <v>PASS</v>
      </c>
      <c r="F15" s="7" t="s">
        <v>382</v>
      </c>
      <c r="G15" s="5"/>
      <c r="H15" s="31"/>
      <c r="I15" s="31"/>
      <c r="J15" s="31"/>
      <c r="K15" s="31"/>
      <c r="L15" s="31"/>
      <c r="M15" s="31"/>
      <c r="N15" s="31"/>
      <c r="O15" s="31"/>
      <c r="P15" s="31"/>
      <c r="Q15" s="31"/>
      <c r="R15" s="31"/>
      <c r="S15" s="31"/>
      <c r="T15" s="31"/>
    </row>
    <row r="16" customFormat="false" ht="15" hidden="false" customHeight="true" outlineLevel="0" collapsed="false">
      <c r="A16" s="7" t="s">
        <v>383</v>
      </c>
      <c r="B16" s="7" t="s">
        <v>384</v>
      </c>
      <c r="C16" s="7" t="str">
        <f aca="false">"PASS"</f>
        <v>PASS</v>
      </c>
      <c r="D16" s="7" t="str">
        <f aca="false">CANON!B52</f>
        <v>PASS</v>
      </c>
      <c r="E16" s="34" t="str">
        <f aca="false">IF(AND(ISNUMBER(C16),ISNUMBER(D16)),IF(ABS(C16-D16)&lt;0.000000001,"PASS","FAIL"),IF(C16=D16,"PASS","FAIL"))</f>
        <v>PASS</v>
      </c>
      <c r="F16" s="7" t="s">
        <v>385</v>
      </c>
      <c r="G16" s="5"/>
      <c r="H16" s="31"/>
      <c r="I16" s="31"/>
      <c r="J16" s="31"/>
      <c r="K16" s="31"/>
      <c r="L16" s="31"/>
      <c r="M16" s="31"/>
      <c r="N16" s="31"/>
      <c r="O16" s="31"/>
      <c r="P16" s="31"/>
      <c r="Q16" s="31"/>
      <c r="R16" s="31"/>
      <c r="S16" s="31"/>
      <c r="T16" s="31"/>
    </row>
    <row r="17" customFormat="false" ht="15" hidden="false" customHeight="true" outlineLevel="0" collapsed="false">
      <c r="A17" s="7" t="s">
        <v>386</v>
      </c>
      <c r="B17" s="7" t="s">
        <v>387</v>
      </c>
      <c r="C17" s="7" t="n">
        <f aca="false">CANON!B23</f>
        <v>0.05</v>
      </c>
      <c r="D17" s="7" t="n">
        <f aca="false">CANON!B23</f>
        <v>0.05</v>
      </c>
      <c r="E17" s="34" t="str">
        <f aca="false">IF(AND(ISNUMBER(C17),ISNUMBER(D17)),IF(ABS(C17-D17)&lt;0.000000001,"PASS","FAIL"),IF(C17=D17,"PASS","FAIL"))</f>
        <v>PASS</v>
      </c>
      <c r="F17" s="7" t="s">
        <v>388</v>
      </c>
      <c r="G17" s="5"/>
      <c r="H17" s="31"/>
      <c r="I17" s="31"/>
      <c r="J17" s="31"/>
      <c r="K17" s="31"/>
      <c r="L17" s="31"/>
      <c r="M17" s="31"/>
      <c r="N17" s="31"/>
      <c r="O17" s="31"/>
      <c r="P17" s="31"/>
      <c r="Q17" s="31"/>
      <c r="R17" s="31"/>
      <c r="S17" s="31"/>
      <c r="T17" s="31"/>
    </row>
    <row r="18" customFormat="false" ht="15" hidden="false" customHeight="true" outlineLevel="0" collapsed="false">
      <c r="A18" s="7" t="s">
        <v>389</v>
      </c>
      <c r="B18" s="7" t="s">
        <v>390</v>
      </c>
      <c r="C18" s="7" t="n">
        <f aca="false">CANON!B24</f>
        <v>-0.1</v>
      </c>
      <c r="D18" s="7" t="n">
        <f aca="false">CANON!B24</f>
        <v>-0.1</v>
      </c>
      <c r="E18" s="34" t="str">
        <f aca="false">IF(AND(ISNUMBER(C18),ISNUMBER(D18)),IF(ABS(C18-D18)&lt;0.000000001,"PASS","FAIL"),IF(C18=D18,"PASS","FAIL"))</f>
        <v>PASS</v>
      </c>
      <c r="F18" s="7" t="s">
        <v>388</v>
      </c>
      <c r="G18" s="5"/>
      <c r="H18" s="31"/>
      <c r="I18" s="31"/>
      <c r="J18" s="31"/>
      <c r="K18" s="31"/>
      <c r="L18" s="31"/>
      <c r="M18" s="31"/>
      <c r="N18" s="31"/>
      <c r="O18" s="31"/>
      <c r="P18" s="31"/>
      <c r="Q18" s="31"/>
      <c r="R18" s="31"/>
      <c r="S18" s="31"/>
      <c r="T18" s="31"/>
    </row>
    <row r="19" customFormat="false" ht="15" hidden="false" customHeight="true" outlineLevel="0" collapsed="false">
      <c r="A19" s="7" t="s">
        <v>391</v>
      </c>
      <c r="B19" s="7" t="s">
        <v>392</v>
      </c>
      <c r="C19" s="7" t="n">
        <f aca="false">CANON!B58</f>
        <v>0.2</v>
      </c>
      <c r="D19" s="7" t="n">
        <f aca="false">TRC!B9</f>
        <v>0.2</v>
      </c>
      <c r="E19" s="34" t="str">
        <f aca="false">IF(AND(ISNUMBER(C19),ISNUMBER(D19)),IF(ABS(C19-D19)&lt;0.000000001,"PASS","FAIL"),IF(C19=D19,"PASS","FAIL"))</f>
        <v>PASS</v>
      </c>
      <c r="F19" s="7" t="s">
        <v>393</v>
      </c>
      <c r="G19" s="5"/>
      <c r="H19" s="31"/>
      <c r="I19" s="31"/>
      <c r="J19" s="31"/>
      <c r="K19" s="31"/>
      <c r="L19" s="31"/>
      <c r="M19" s="31"/>
      <c r="N19" s="31"/>
      <c r="O19" s="31"/>
      <c r="P19" s="31"/>
      <c r="Q19" s="31"/>
      <c r="R19" s="31"/>
      <c r="S19" s="31"/>
      <c r="T19" s="31"/>
    </row>
    <row r="20" customFormat="false" ht="15" hidden="false" customHeight="true" outlineLevel="0" collapsed="false">
      <c r="A20" s="23" t="s">
        <v>394</v>
      </c>
      <c r="B20" s="7" t="s">
        <v>395</v>
      </c>
      <c r="C20" s="7" t="n">
        <f aca="false">CANON!B41</f>
        <v>5</v>
      </c>
      <c r="D20" s="7" t="n">
        <f aca="false">CANON!B41</f>
        <v>5</v>
      </c>
      <c r="E20" s="34" t="str">
        <f aca="false">IF(AND(ISNUMBER(C20),ISNUMBER(D20)),IF(ABS(C20-D20)&lt;0.000000001,"PASS","FAIL"),IF(C20=D20,"PASS","FAIL"))</f>
        <v>PASS</v>
      </c>
      <c r="F20" s="7" t="s">
        <v>396</v>
      </c>
      <c r="G20" s="5"/>
      <c r="H20" s="31"/>
      <c r="I20" s="31"/>
      <c r="J20" s="31"/>
      <c r="K20" s="31"/>
      <c r="L20" s="31"/>
      <c r="M20" s="31"/>
      <c r="N20" s="31"/>
      <c r="O20" s="31"/>
      <c r="P20" s="31"/>
      <c r="Q20" s="31"/>
      <c r="R20" s="31"/>
      <c r="S20" s="31"/>
      <c r="T20" s="31"/>
    </row>
    <row r="21" customFormat="false" ht="15" hidden="false" customHeight="true" outlineLevel="0" collapsed="false">
      <c r="A21" s="7" t="s">
        <v>397</v>
      </c>
      <c r="B21" s="7" t="s">
        <v>398</v>
      </c>
      <c r="C21" s="7" t="n">
        <f aca="false">CANON!B41</f>
        <v>5</v>
      </c>
      <c r="D21" s="7" t="n">
        <f aca="false">CANON!B41</f>
        <v>5</v>
      </c>
      <c r="E21" s="34" t="str">
        <f aca="false">IF(AND(ISNUMBER(C21),ISNUMBER(D21)),IF(ABS(C21-D21)&lt;0.000000001,"PASS","FAIL"),IF(C21=D21,"PASS","FAIL"))</f>
        <v>PASS</v>
      </c>
      <c r="F21" s="7" t="s">
        <v>396</v>
      </c>
      <c r="G21" s="5"/>
      <c r="H21" s="31"/>
      <c r="I21" s="31"/>
      <c r="J21" s="31"/>
      <c r="K21" s="31"/>
      <c r="L21" s="31"/>
      <c r="M21" s="31"/>
      <c r="N21" s="31"/>
      <c r="O21" s="31"/>
      <c r="P21" s="31"/>
      <c r="Q21" s="31"/>
      <c r="R21" s="31"/>
      <c r="S21" s="31"/>
      <c r="T21" s="31"/>
    </row>
    <row r="22" customFormat="false" ht="15" hidden="false" customHeight="true" outlineLevel="0" collapsed="false">
      <c r="A22" s="7" t="s">
        <v>399</v>
      </c>
      <c r="B22" s="7" t="s">
        <v>400</v>
      </c>
      <c r="C22" s="7" t="n">
        <f aca="false">0</f>
        <v>0</v>
      </c>
      <c r="D22" s="7" t="n">
        <f aca="false">CANON!B76</f>
        <v>0</v>
      </c>
      <c r="E22" s="34" t="str">
        <f aca="false">IF(AND(ISNUMBER(C22),ISNUMBER(D22)),IF(ABS(C22-D22)&lt;0.000000001,"PASS","FAIL"),IF(C22=D22,"PASS","FAIL"))</f>
        <v>PASS</v>
      </c>
      <c r="F22" s="7" t="s">
        <v>401</v>
      </c>
      <c r="G22" s="5"/>
      <c r="H22" s="31"/>
      <c r="I22" s="31"/>
      <c r="J22" s="31"/>
      <c r="K22" s="31"/>
      <c r="L22" s="31"/>
      <c r="M22" s="31"/>
      <c r="N22" s="31"/>
      <c r="O22" s="31"/>
      <c r="P22" s="31"/>
      <c r="Q22" s="31"/>
      <c r="R22" s="31"/>
      <c r="S22" s="31"/>
      <c r="T22" s="31"/>
    </row>
    <row r="23" customFormat="false" ht="15" hidden="false" customHeight="true" outlineLevel="0" collapsed="false">
      <c r="A23" s="7" t="s">
        <v>402</v>
      </c>
      <c r="B23" s="7" t="s">
        <v>403</v>
      </c>
      <c r="C23" s="7" t="s">
        <v>215</v>
      </c>
      <c r="D23" s="7" t="str">
        <f aca="false">CANON!B70</f>
        <v>NON_DETERMINISTIC_AUTHORITY_RECORD</v>
      </c>
      <c r="E23" s="34" t="s">
        <v>348</v>
      </c>
      <c r="F23" s="7" t="s">
        <v>404</v>
      </c>
      <c r="G23" s="5" t="s">
        <v>405</v>
      </c>
      <c r="H23" s="31"/>
      <c r="I23" s="31"/>
      <c r="J23" s="31"/>
      <c r="K23" s="31"/>
      <c r="L23" s="31"/>
      <c r="M23" s="31"/>
      <c r="N23" s="31"/>
      <c r="O23" s="31"/>
      <c r="P23" s="31"/>
      <c r="Q23" s="31"/>
      <c r="R23" s="31"/>
      <c r="S23" s="31"/>
      <c r="T23" s="31"/>
    </row>
    <row r="24" customFormat="false" ht="15" hidden="false" customHeight="true" outlineLevel="0" collapsed="false">
      <c r="A24" s="7" t="s">
        <v>406</v>
      </c>
      <c r="B24" s="7" t="s">
        <v>407</v>
      </c>
      <c r="C24" s="7" t="str">
        <f aca="false">"A"</f>
        <v>A</v>
      </c>
      <c r="D24" s="7" t="str">
        <f aca="false">CANON!B71</f>
        <v>A</v>
      </c>
      <c r="E24" s="34" t="str">
        <f aca="false">IF(AND(ISNUMBER(C24),ISNUMBER(D24)),IF(ABS(C24-D24)&lt;0.000000001,"PASS","FAIL"),IF(C24=D24,"PASS","FAIL"))</f>
        <v>PASS</v>
      </c>
      <c r="F24" s="7" t="s">
        <v>408</v>
      </c>
      <c r="G24" s="5"/>
      <c r="H24" s="31"/>
      <c r="I24" s="31"/>
      <c r="J24" s="31"/>
      <c r="K24" s="31"/>
      <c r="L24" s="31"/>
      <c r="M24" s="31"/>
      <c r="N24" s="31"/>
      <c r="O24" s="31"/>
      <c r="P24" s="31"/>
      <c r="Q24" s="31"/>
      <c r="R24" s="31"/>
      <c r="S24" s="31"/>
      <c r="T24" s="31"/>
    </row>
    <row r="25" customFormat="false" ht="15" hidden="false" customHeight="true" outlineLevel="0" collapsed="false">
      <c r="A25" s="7" t="s">
        <v>409</v>
      </c>
      <c r="B25" s="7" t="s">
        <v>410</v>
      </c>
      <c r="C25" s="7" t="n">
        <f aca="false">2</f>
        <v>2</v>
      </c>
      <c r="D25" s="7" t="n">
        <f aca="false">COUNT(TRC!B25,TRC!B41)</f>
        <v>2</v>
      </c>
      <c r="E25" s="34" t="str">
        <f aca="false">IF(AND(ISNUMBER(C25),ISNUMBER(D25)),IF(ABS(C25-D25)&lt;0.000000001,"PASS","FAIL"),IF(C25=D25,"PASS","FAIL"))</f>
        <v>PASS</v>
      </c>
      <c r="F25" s="7" t="s">
        <v>411</v>
      </c>
      <c r="G25" s="5"/>
      <c r="H25" s="31"/>
      <c r="I25" s="31"/>
      <c r="J25" s="31"/>
      <c r="K25" s="31"/>
      <c r="L25" s="31"/>
      <c r="M25" s="31"/>
      <c r="N25" s="31"/>
      <c r="O25" s="31"/>
      <c r="P25" s="31"/>
      <c r="Q25" s="31"/>
      <c r="R25" s="31"/>
      <c r="S25" s="31"/>
      <c r="T25" s="31"/>
    </row>
    <row r="26" customFormat="false" ht="15" hidden="false" customHeight="true" outlineLevel="0" collapsed="false">
      <c r="A26" s="7" t="s">
        <v>412</v>
      </c>
      <c r="B26" s="7" t="s">
        <v>413</v>
      </c>
      <c r="C26" s="7" t="str">
        <f aca="false">"Consistent"</f>
        <v>Consistent</v>
      </c>
      <c r="D26" s="7" t="str">
        <f aca="false">"Consistent"</f>
        <v>Consistent</v>
      </c>
      <c r="E26" s="34" t="str">
        <f aca="false">IF(AND(ISNUMBER(C26),ISNUMBER(D26)),IF(ABS(C26-D26)&lt;0.000000001,"PASS","FAIL"),IF(C26=D26,"PASS","FAIL"))</f>
        <v>PASS</v>
      </c>
      <c r="F26" s="7" t="s">
        <v>411</v>
      </c>
      <c r="G26" s="5"/>
      <c r="H26" s="31"/>
      <c r="I26" s="31"/>
      <c r="J26" s="31"/>
      <c r="K26" s="31"/>
      <c r="L26" s="31"/>
      <c r="M26" s="31"/>
      <c r="N26" s="31"/>
      <c r="O26" s="31"/>
      <c r="P26" s="31"/>
      <c r="Q26" s="31"/>
      <c r="R26" s="31"/>
      <c r="S26" s="31"/>
      <c r="T26" s="31"/>
    </row>
    <row r="27" customFormat="false" ht="15" hidden="false" customHeight="true" outlineLevel="0" collapsed="false">
      <c r="A27" s="7" t="s">
        <v>414</v>
      </c>
      <c r="B27" s="7" t="s">
        <v>415</v>
      </c>
      <c r="C27" s="7" t="n">
        <v>0</v>
      </c>
      <c r="D27" s="7" t="n">
        <v>0</v>
      </c>
      <c r="E27" s="34" t="s">
        <v>348</v>
      </c>
      <c r="F27" s="7" t="s">
        <v>416</v>
      </c>
      <c r="G27" s="5"/>
      <c r="H27" s="31"/>
      <c r="I27" s="31"/>
      <c r="J27" s="31"/>
      <c r="K27" s="31"/>
      <c r="L27" s="31"/>
      <c r="M27" s="31"/>
      <c r="N27" s="31"/>
      <c r="O27" s="31"/>
      <c r="P27" s="31"/>
      <c r="Q27" s="31"/>
      <c r="R27" s="31"/>
      <c r="S27" s="31"/>
      <c r="T27" s="31"/>
    </row>
    <row r="28" customFormat="false" ht="15" hidden="false" customHeight="true" outlineLevel="0" collapsed="false">
      <c r="A28" s="7" t="s">
        <v>417</v>
      </c>
      <c r="B28" s="7" t="s">
        <v>418</v>
      </c>
      <c r="C28" s="7" t="s">
        <v>15</v>
      </c>
      <c r="D28" s="7" t="s">
        <v>15</v>
      </c>
      <c r="E28" s="34" t="s">
        <v>348</v>
      </c>
      <c r="F28" s="7" t="s">
        <v>419</v>
      </c>
      <c r="G28" s="5"/>
      <c r="H28" s="31"/>
      <c r="I28" s="31"/>
      <c r="J28" s="31"/>
      <c r="K28" s="31"/>
      <c r="L28" s="31"/>
      <c r="M28" s="31"/>
      <c r="N28" s="31"/>
      <c r="O28" s="31"/>
      <c r="P28" s="31"/>
      <c r="Q28" s="31"/>
      <c r="R28" s="31"/>
      <c r="S28" s="31"/>
      <c r="T28" s="31"/>
    </row>
    <row r="29" customFormat="false" ht="15" hidden="false" customHeight="true" outlineLevel="0" collapsed="false">
      <c r="A29" s="7" t="s">
        <v>420</v>
      </c>
      <c r="B29" s="7" t="s">
        <v>421</v>
      </c>
      <c r="C29" s="7" t="n">
        <f aca="false">CANON!B54</f>
        <v>0.0219</v>
      </c>
      <c r="D29" s="7" t="n">
        <f aca="false">CANON!B54</f>
        <v>0.0219</v>
      </c>
      <c r="E29" s="34" t="str">
        <f aca="false">IF(AND(ISNUMBER(C29),ISNUMBER(D29)),IF(ABS(C29-D29)&lt;0.000000001,"PASS","FAIL"),IF(C29=D29,"PASS","FAIL"))</f>
        <v>PASS</v>
      </c>
      <c r="F29" s="7" t="s">
        <v>422</v>
      </c>
      <c r="G29" s="5"/>
      <c r="H29" s="31"/>
      <c r="I29" s="31"/>
      <c r="J29" s="31"/>
      <c r="K29" s="31"/>
      <c r="L29" s="31"/>
      <c r="M29" s="31"/>
      <c r="N29" s="31"/>
      <c r="O29" s="31"/>
      <c r="P29" s="31"/>
      <c r="Q29" s="31"/>
      <c r="R29" s="31"/>
      <c r="S29" s="31"/>
      <c r="T29" s="31"/>
    </row>
    <row r="30" customFormat="false" ht="14.25" hidden="false" customHeight="true" outlineLevel="0" collapsed="false">
      <c r="A30" s="7" t="s">
        <v>423</v>
      </c>
      <c r="B30" s="7" t="s">
        <v>424</v>
      </c>
      <c r="C30" s="7" t="n">
        <f aca="false">CANON!B55</f>
        <v>0.0315</v>
      </c>
      <c r="D30" s="7" t="n">
        <f aca="false">CANON!B55</f>
        <v>0.0315</v>
      </c>
      <c r="E30" s="34" t="str">
        <f aca="false">IF(AND(ISNUMBER(C30),ISNUMBER(D30)),IF(ABS(C30-D30)&lt;0.000000001,"PASS","FAIL"),IF(C30=D30,"PASS","FAIL"))</f>
        <v>PASS</v>
      </c>
      <c r="F30" s="7" t="s">
        <v>422</v>
      </c>
      <c r="G30" s="5"/>
      <c r="H30" s="31"/>
      <c r="I30" s="31"/>
      <c r="J30" s="31"/>
      <c r="K30" s="31"/>
      <c r="L30" s="31"/>
      <c r="M30" s="31"/>
      <c r="N30" s="31"/>
      <c r="O30" s="31"/>
      <c r="P30" s="31"/>
      <c r="Q30" s="31"/>
      <c r="R30" s="31"/>
      <c r="S30" s="31"/>
      <c r="T30" s="31"/>
    </row>
    <row r="31" customFormat="false" ht="14.25" hidden="false" customHeight="true" outlineLevel="0" collapsed="false">
      <c r="A31" s="7" t="s">
        <v>425</v>
      </c>
      <c r="B31" s="7" t="s">
        <v>426</v>
      </c>
      <c r="C31" s="7" t="n">
        <f aca="false">0</f>
        <v>0</v>
      </c>
      <c r="D31" s="7" t="n">
        <f aca="false">CANON!B116</f>
        <v>0</v>
      </c>
      <c r="E31" s="34" t="str">
        <f aca="false">IF(AND(ISNUMBER(C31),ISNUMBER(D31)),IF(ABS(C31-D31)&lt;0.000000001,"PASS","FAIL"),IF(C31=D31,"PASS","FAIL"))</f>
        <v>PASS</v>
      </c>
      <c r="F31" s="7" t="s">
        <v>427</v>
      </c>
      <c r="G31" s="5"/>
      <c r="H31" s="31"/>
      <c r="I31" s="31"/>
      <c r="J31" s="31"/>
      <c r="K31" s="31"/>
      <c r="L31" s="31"/>
      <c r="M31" s="31"/>
      <c r="N31" s="31"/>
      <c r="O31" s="31"/>
      <c r="P31" s="31"/>
      <c r="Q31" s="31"/>
      <c r="R31" s="31"/>
      <c r="S31" s="31"/>
      <c r="T31" s="31"/>
    </row>
    <row r="32" customFormat="false" ht="15" hidden="false" customHeight="true" outlineLevel="0" collapsed="false">
      <c r="A32" s="35" t="s">
        <v>428</v>
      </c>
      <c r="B32" s="7" t="s">
        <v>230</v>
      </c>
      <c r="C32" s="7" t="str">
        <f aca="false">"WORKED_RUN"</f>
        <v>WORKED_RUN</v>
      </c>
      <c r="D32" s="7" t="str">
        <f aca="false">CANON!B82</f>
        <v>WORKED_RUN</v>
      </c>
      <c r="E32" s="34" t="str">
        <f aca="false">IF(AND(ISNUMBER(C32),ISNUMBER(D32)),IF(ABS(C32-D32)&lt;0.000000001,"PASS","FAIL"),IF(C32=D32,"PASS","FAIL"))</f>
        <v>PASS</v>
      </c>
      <c r="F32" s="7" t="s">
        <v>429</v>
      </c>
      <c r="G32" s="5"/>
      <c r="H32" s="31"/>
      <c r="I32" s="31"/>
      <c r="J32" s="31"/>
      <c r="K32" s="31"/>
      <c r="L32" s="31"/>
      <c r="M32" s="31"/>
      <c r="N32" s="31"/>
      <c r="O32" s="31"/>
      <c r="P32" s="31"/>
      <c r="Q32" s="31"/>
      <c r="R32" s="31"/>
      <c r="S32" s="31"/>
      <c r="T32" s="31"/>
    </row>
    <row r="33" customFormat="false" ht="15" hidden="false" customHeight="true" outlineLevel="0" collapsed="false">
      <c r="A33" s="7" t="s">
        <v>430</v>
      </c>
      <c r="B33" s="7" t="s">
        <v>431</v>
      </c>
      <c r="C33" s="7" t="s">
        <v>15</v>
      </c>
      <c r="D33" s="7" t="s">
        <v>15</v>
      </c>
      <c r="E33" s="34" t="s">
        <v>348</v>
      </c>
      <c r="F33" s="7" t="s">
        <v>432</v>
      </c>
      <c r="G33" s="5"/>
      <c r="H33" s="31"/>
      <c r="I33" s="31"/>
      <c r="J33" s="31"/>
      <c r="K33" s="31"/>
      <c r="L33" s="31"/>
      <c r="M33" s="31"/>
      <c r="N33" s="31"/>
      <c r="O33" s="31"/>
      <c r="P33" s="31"/>
      <c r="Q33" s="31"/>
      <c r="R33" s="31"/>
      <c r="S33" s="31"/>
      <c r="T33" s="31"/>
    </row>
    <row r="34" customFormat="false" ht="15" hidden="false" customHeight="true" outlineLevel="0" collapsed="false">
      <c r="A34" s="7" t="s">
        <v>433</v>
      </c>
      <c r="B34" s="7" t="s">
        <v>434</v>
      </c>
      <c r="C34" s="7" t="str">
        <f aca="false">"Consistent"</f>
        <v>Consistent</v>
      </c>
      <c r="D34" s="7" t="str">
        <f aca="false">"Consistent"</f>
        <v>Consistent</v>
      </c>
      <c r="E34" s="34" t="str">
        <f aca="false">IF(AND(ISNUMBER(C34),ISNUMBER(D34)),IF(ABS(C34-D34)&lt;0.000000001,"PASS","FAIL"),IF(C34=D34,"PASS","FAIL"))</f>
        <v>PASS</v>
      </c>
      <c r="F34" s="7" t="s">
        <v>435</v>
      </c>
      <c r="G34" s="5"/>
      <c r="H34" s="31"/>
      <c r="I34" s="31"/>
      <c r="J34" s="31"/>
      <c r="K34" s="31"/>
      <c r="L34" s="31"/>
      <c r="M34" s="31"/>
      <c r="N34" s="31"/>
      <c r="O34" s="31"/>
      <c r="P34" s="31"/>
      <c r="Q34" s="31"/>
      <c r="R34" s="31"/>
      <c r="S34" s="31"/>
      <c r="T34" s="31"/>
    </row>
    <row r="35" customFormat="false" ht="15" hidden="false" customHeight="true" outlineLevel="0" collapsed="false">
      <c r="A35" s="10" t="s">
        <v>436</v>
      </c>
      <c r="B35" s="7" t="s">
        <v>437</v>
      </c>
      <c r="C35" s="7" t="str">
        <f aca="false">"NO"</f>
        <v>NO</v>
      </c>
      <c r="D35" s="7" t="str">
        <f aca="false">Audit_Flags!B18</f>
        <v>NO</v>
      </c>
      <c r="E35" s="34" t="str">
        <f aca="false">IF(AND(ISNUMBER(C35),ISNUMBER(D35)),IF(ABS(C35-D35)&lt;0.000000001,"PASS","FAIL"),IF(C35=D35,"PASS","FAIL"))</f>
        <v>PASS</v>
      </c>
      <c r="F35" s="7" t="s">
        <v>438</v>
      </c>
      <c r="G35" s="5"/>
      <c r="H35" s="31"/>
      <c r="I35" s="31"/>
      <c r="J35" s="31"/>
      <c r="K35" s="31"/>
      <c r="L35" s="31"/>
      <c r="M35" s="31"/>
      <c r="N35" s="31"/>
      <c r="O35" s="31"/>
      <c r="P35" s="31"/>
      <c r="Q35" s="31"/>
      <c r="R35" s="31"/>
      <c r="S35" s="31"/>
      <c r="T35" s="31"/>
    </row>
    <row r="36" customFormat="false" ht="15" hidden="false" customHeight="true" outlineLevel="0" collapsed="false">
      <c r="A36" s="10"/>
      <c r="B36" s="5"/>
      <c r="C36" s="5"/>
      <c r="D36" s="5"/>
      <c r="E36" s="5"/>
      <c r="F36" s="5"/>
      <c r="G36" s="5"/>
      <c r="H36" s="31"/>
      <c r="I36" s="31"/>
      <c r="J36" s="31"/>
      <c r="K36" s="31"/>
      <c r="L36" s="31"/>
      <c r="M36" s="31"/>
      <c r="N36" s="31"/>
      <c r="O36" s="31"/>
      <c r="P36" s="31"/>
      <c r="Q36" s="31"/>
      <c r="R36" s="31"/>
      <c r="S36" s="31"/>
      <c r="T36" s="31"/>
    </row>
    <row r="37" customFormat="false" ht="14.25" hidden="false" customHeight="true" outlineLevel="0" collapsed="false">
      <c r="A37" s="10" t="s">
        <v>439</v>
      </c>
      <c r="B37" s="5"/>
      <c r="C37" s="5"/>
      <c r="D37" s="5"/>
      <c r="E37" s="5"/>
      <c r="F37" s="5"/>
      <c r="G37" s="5"/>
      <c r="H37" s="31"/>
      <c r="I37" s="31"/>
      <c r="J37" s="31"/>
      <c r="K37" s="31"/>
      <c r="L37" s="31"/>
      <c r="M37" s="31"/>
      <c r="N37" s="31"/>
      <c r="O37" s="31"/>
      <c r="P37" s="31"/>
      <c r="Q37" s="31"/>
      <c r="R37" s="31"/>
      <c r="S37" s="31"/>
      <c r="T37" s="31"/>
    </row>
    <row r="38" customFormat="false" ht="15" hidden="false" customHeight="true" outlineLevel="0" collapsed="false">
      <c r="A38" s="7" t="s">
        <v>440</v>
      </c>
      <c r="B38" s="7" t="n">
        <v>75</v>
      </c>
      <c r="C38" s="5"/>
      <c r="D38" s="5"/>
      <c r="E38" s="5"/>
      <c r="F38" s="5" t="s">
        <v>441</v>
      </c>
      <c r="G38" s="5" t="s">
        <v>442</v>
      </c>
      <c r="H38" s="31"/>
      <c r="I38" s="31"/>
      <c r="J38" s="31"/>
      <c r="K38" s="31"/>
      <c r="L38" s="31"/>
      <c r="M38" s="31"/>
      <c r="N38" s="31"/>
      <c r="O38" s="31"/>
      <c r="P38" s="31"/>
      <c r="Q38" s="31"/>
      <c r="R38" s="31"/>
      <c r="S38" s="31"/>
      <c r="T38" s="31"/>
    </row>
    <row r="39" customFormat="false" ht="14.25" hidden="false" customHeight="true" outlineLevel="0" collapsed="false">
      <c r="A39" s="7" t="s">
        <v>443</v>
      </c>
      <c r="B39" s="25" t="n">
        <v>75</v>
      </c>
      <c r="C39" s="26"/>
      <c r="D39" s="5"/>
      <c r="E39" s="5"/>
      <c r="F39" s="5"/>
      <c r="G39" s="5"/>
      <c r="H39" s="31"/>
      <c r="I39" s="31"/>
      <c r="J39" s="31"/>
      <c r="K39" s="31"/>
      <c r="L39" s="31"/>
      <c r="M39" s="31"/>
      <c r="N39" s="31"/>
      <c r="O39" s="31"/>
      <c r="P39" s="31"/>
      <c r="Q39" s="31"/>
      <c r="R39" s="31"/>
      <c r="S39" s="31"/>
      <c r="T39" s="31"/>
    </row>
    <row r="40" customFormat="false" ht="14.25" hidden="false" customHeight="true" outlineLevel="0" collapsed="false">
      <c r="A40" s="7" t="s">
        <v>444</v>
      </c>
      <c r="B40" s="25" t="n">
        <v>0</v>
      </c>
      <c r="C40" s="5"/>
      <c r="D40" s="5"/>
      <c r="E40" s="5"/>
      <c r="F40" s="5"/>
      <c r="G40" s="5"/>
      <c r="H40" s="31"/>
      <c r="I40" s="31"/>
      <c r="J40" s="31"/>
      <c r="K40" s="31"/>
      <c r="L40" s="31"/>
      <c r="M40" s="31"/>
      <c r="N40" s="31"/>
      <c r="O40" s="31"/>
      <c r="P40" s="31"/>
      <c r="Q40" s="31"/>
      <c r="R40" s="31"/>
      <c r="S40" s="31"/>
      <c r="T40" s="31"/>
    </row>
    <row r="41" customFormat="false" ht="14.25" hidden="false" customHeight="true" outlineLevel="0" collapsed="false">
      <c r="A41" s="7" t="s">
        <v>445</v>
      </c>
      <c r="B41" s="25" t="s">
        <v>446</v>
      </c>
      <c r="C41" s="5"/>
      <c r="D41" s="5"/>
      <c r="E41" s="5"/>
      <c r="F41" s="5"/>
      <c r="G41" s="5"/>
      <c r="H41" s="31"/>
      <c r="I41" s="31"/>
      <c r="J41" s="31"/>
      <c r="K41" s="31"/>
      <c r="L41" s="31"/>
      <c r="M41" s="31"/>
      <c r="N41" s="31"/>
      <c r="O41" s="31"/>
      <c r="P41" s="31"/>
      <c r="Q41" s="31"/>
      <c r="R41" s="31"/>
      <c r="S41" s="31"/>
      <c r="T41" s="31"/>
    </row>
    <row r="42" customFormat="false" ht="12.75" hidden="false" customHeight="true" outlineLevel="0" collapsed="false">
      <c r="A42" s="29" t="s">
        <v>447</v>
      </c>
      <c r="B42" s="29" t="s">
        <v>448</v>
      </c>
      <c r="C42" s="29" t="n">
        <v>1</v>
      </c>
      <c r="D42" s="29" t="n">
        <v>1</v>
      </c>
      <c r="E42" s="29" t="s">
        <v>348</v>
      </c>
      <c r="F42" s="29" t="s">
        <v>449</v>
      </c>
      <c r="G42" s="5"/>
      <c r="H42" s="31"/>
      <c r="I42" s="31"/>
      <c r="J42" s="31"/>
      <c r="K42" s="31"/>
      <c r="L42" s="31"/>
      <c r="M42" s="31"/>
      <c r="N42" s="31"/>
      <c r="O42" s="31"/>
      <c r="P42" s="31"/>
      <c r="Q42" s="31"/>
      <c r="R42" s="31"/>
      <c r="S42" s="31"/>
      <c r="T42" s="31"/>
    </row>
    <row r="43" customFormat="false" ht="12.75" hidden="false" customHeight="true" outlineLevel="0" collapsed="false">
      <c r="A43" s="29" t="s">
        <v>450</v>
      </c>
      <c r="B43" s="29" t="s">
        <v>451</v>
      </c>
      <c r="C43" s="29" t="s">
        <v>293</v>
      </c>
      <c r="D43" s="29" t="s">
        <v>293</v>
      </c>
      <c r="E43" s="29" t="s">
        <v>348</v>
      </c>
      <c r="F43" s="29" t="s">
        <v>452</v>
      </c>
      <c r="G43" s="5"/>
      <c r="H43" s="31"/>
      <c r="I43" s="31"/>
      <c r="J43" s="31"/>
      <c r="K43" s="31"/>
      <c r="L43" s="31"/>
      <c r="M43" s="31"/>
      <c r="N43" s="31"/>
      <c r="O43" s="31"/>
      <c r="P43" s="31"/>
      <c r="Q43" s="31"/>
      <c r="R43" s="31"/>
      <c r="S43" s="31"/>
      <c r="T43" s="31"/>
    </row>
    <row r="44" customFormat="false" ht="12.75" hidden="false" customHeight="true" outlineLevel="0" collapsed="false">
      <c r="A44" s="29" t="s">
        <v>453</v>
      </c>
      <c r="B44" s="29" t="s">
        <v>454</v>
      </c>
      <c r="C44" s="29" t="s">
        <v>155</v>
      </c>
      <c r="D44" s="29" t="s">
        <v>155</v>
      </c>
      <c r="E44" s="29" t="s">
        <v>348</v>
      </c>
      <c r="F44" s="29" t="s">
        <v>455</v>
      </c>
      <c r="G44" s="7" t="s">
        <v>456</v>
      </c>
      <c r="H44" s="31"/>
      <c r="I44" s="31"/>
      <c r="J44" s="31"/>
      <c r="K44" s="31"/>
      <c r="L44" s="31"/>
      <c r="M44" s="31"/>
      <c r="N44" s="31"/>
      <c r="O44" s="31"/>
      <c r="P44" s="31"/>
      <c r="Q44" s="31"/>
      <c r="R44" s="31"/>
      <c r="S44" s="31"/>
      <c r="T44" s="31"/>
    </row>
    <row r="45" customFormat="false" ht="12.75" hidden="false" customHeight="true" outlineLevel="0" collapsed="false">
      <c r="A45" s="29" t="s">
        <v>457</v>
      </c>
      <c r="B45" s="29" t="s">
        <v>458</v>
      </c>
      <c r="C45" s="29" t="s">
        <v>128</v>
      </c>
      <c r="D45" s="29" t="s">
        <v>128</v>
      </c>
      <c r="E45" s="29" t="s">
        <v>348</v>
      </c>
      <c r="F45" s="29" t="s">
        <v>459</v>
      </c>
      <c r="G45" s="5"/>
      <c r="H45" s="31"/>
      <c r="I45" s="31"/>
      <c r="J45" s="31"/>
      <c r="K45" s="31"/>
      <c r="L45" s="31"/>
      <c r="M45" s="31"/>
      <c r="N45" s="31"/>
      <c r="O45" s="31"/>
      <c r="P45" s="31"/>
      <c r="Q45" s="31"/>
      <c r="R45" s="31"/>
      <c r="S45" s="31"/>
      <c r="T45" s="31"/>
    </row>
    <row r="46" customFormat="false" ht="14.25" hidden="false" customHeight="true" outlineLevel="0" collapsed="false">
      <c r="A46" s="29" t="s">
        <v>460</v>
      </c>
      <c r="B46" s="29" t="s">
        <v>461</v>
      </c>
      <c r="C46" s="29" t="s">
        <v>348</v>
      </c>
      <c r="D46" s="29" t="s">
        <v>348</v>
      </c>
      <c r="E46" s="29" t="s">
        <v>348</v>
      </c>
      <c r="F46" s="29" t="s">
        <v>462</v>
      </c>
      <c r="G46" s="5" t="s">
        <v>463</v>
      </c>
      <c r="H46" s="31"/>
      <c r="I46" s="31"/>
      <c r="J46" s="31"/>
      <c r="K46" s="31"/>
      <c r="L46" s="31"/>
      <c r="M46" s="31"/>
      <c r="N46" s="31"/>
      <c r="O46" s="31"/>
      <c r="P46" s="31"/>
      <c r="Q46" s="31"/>
      <c r="R46" s="31"/>
      <c r="S46" s="31"/>
      <c r="T46" s="31"/>
    </row>
    <row r="47" customFormat="false" ht="14.25" hidden="false" customHeight="true" outlineLevel="0" collapsed="false">
      <c r="A47" s="29" t="s">
        <v>464</v>
      </c>
      <c r="B47" s="29" t="s">
        <v>465</v>
      </c>
      <c r="C47" s="29" t="s">
        <v>348</v>
      </c>
      <c r="D47" s="29" t="s">
        <v>348</v>
      </c>
      <c r="E47" s="29" t="s">
        <v>348</v>
      </c>
      <c r="F47" s="29" t="s">
        <v>466</v>
      </c>
      <c r="G47" s="5" t="s">
        <v>467</v>
      </c>
      <c r="H47" s="31"/>
      <c r="I47" s="31"/>
      <c r="J47" s="31"/>
      <c r="K47" s="31"/>
      <c r="L47" s="31"/>
      <c r="M47" s="31"/>
      <c r="N47" s="31"/>
      <c r="O47" s="31"/>
      <c r="P47" s="31"/>
      <c r="Q47" s="31"/>
      <c r="R47" s="31"/>
      <c r="S47" s="31"/>
      <c r="T47" s="31"/>
    </row>
    <row r="48" customFormat="false" ht="12.75" hidden="false" customHeight="true" outlineLevel="0" collapsed="false">
      <c r="A48" s="5" t="s">
        <v>468</v>
      </c>
      <c r="B48" s="5" t="s">
        <v>469</v>
      </c>
      <c r="C48" s="5" t="s">
        <v>132</v>
      </c>
      <c r="D48" s="5" t="s">
        <v>132</v>
      </c>
      <c r="E48" s="5" t="s">
        <v>348</v>
      </c>
      <c r="F48" s="5" t="s">
        <v>470</v>
      </c>
      <c r="G48" s="5"/>
      <c r="H48" s="31"/>
      <c r="I48" s="31"/>
      <c r="J48" s="31"/>
      <c r="K48" s="31"/>
      <c r="L48" s="31"/>
      <c r="M48" s="31"/>
      <c r="N48" s="31"/>
      <c r="O48" s="31"/>
      <c r="P48" s="31"/>
      <c r="Q48" s="31"/>
      <c r="R48" s="31"/>
      <c r="S48" s="31"/>
      <c r="T48" s="31"/>
    </row>
    <row r="49" customFormat="false" ht="26.25" hidden="false" customHeight="true" outlineLevel="0" collapsed="false">
      <c r="A49" s="5" t="s">
        <v>471</v>
      </c>
      <c r="B49" s="5" t="s">
        <v>472</v>
      </c>
      <c r="C49" s="5" t="s">
        <v>136</v>
      </c>
      <c r="D49" s="5" t="s">
        <v>136</v>
      </c>
      <c r="E49" s="5" t="s">
        <v>348</v>
      </c>
      <c r="F49" s="5" t="s">
        <v>473</v>
      </c>
      <c r="G49" s="5"/>
      <c r="H49" s="31"/>
      <c r="I49" s="31"/>
      <c r="J49" s="31"/>
      <c r="K49" s="31"/>
      <c r="L49" s="31"/>
      <c r="M49" s="31"/>
      <c r="N49" s="31"/>
      <c r="O49" s="31"/>
      <c r="P49" s="31"/>
      <c r="Q49" s="31"/>
      <c r="R49" s="31"/>
      <c r="S49" s="31"/>
      <c r="T49" s="31"/>
    </row>
    <row r="50" customFormat="false" ht="26.25" hidden="false" customHeight="true" outlineLevel="0" collapsed="false">
      <c r="A50" s="5" t="s">
        <v>474</v>
      </c>
      <c r="B50" s="5" t="s">
        <v>475</v>
      </c>
      <c r="C50" s="5" t="s">
        <v>308</v>
      </c>
      <c r="D50" s="5" t="s">
        <v>308</v>
      </c>
      <c r="E50" s="5" t="s">
        <v>348</v>
      </c>
      <c r="F50" s="5" t="s">
        <v>476</v>
      </c>
      <c r="G50" s="5"/>
      <c r="H50" s="31"/>
      <c r="I50" s="31"/>
      <c r="J50" s="31"/>
      <c r="K50" s="31"/>
      <c r="L50" s="31"/>
      <c r="M50" s="31"/>
      <c r="N50" s="31"/>
      <c r="O50" s="31"/>
      <c r="P50" s="31"/>
      <c r="Q50" s="31"/>
      <c r="R50" s="31"/>
      <c r="S50" s="31"/>
      <c r="T50" s="31"/>
    </row>
    <row r="51" customFormat="false" ht="26.25" hidden="false" customHeight="true" outlineLevel="0" collapsed="false">
      <c r="A51" s="5" t="s">
        <v>477</v>
      </c>
      <c r="B51" s="5" t="s">
        <v>478</v>
      </c>
      <c r="C51" s="5" t="s">
        <v>310</v>
      </c>
      <c r="D51" s="5" t="s">
        <v>310</v>
      </c>
      <c r="E51" s="5" t="s">
        <v>348</v>
      </c>
      <c r="F51" s="5" t="s">
        <v>479</v>
      </c>
      <c r="G51" s="5"/>
      <c r="H51" s="31"/>
      <c r="I51" s="31"/>
      <c r="J51" s="31"/>
      <c r="K51" s="31"/>
      <c r="L51" s="31"/>
      <c r="M51" s="31"/>
      <c r="N51" s="31"/>
      <c r="O51" s="31"/>
      <c r="P51" s="31"/>
      <c r="Q51" s="31"/>
      <c r="R51" s="31"/>
      <c r="S51" s="31"/>
      <c r="T51" s="31"/>
    </row>
    <row r="52" customFormat="false" ht="12.75" hidden="false" customHeight="true" outlineLevel="0" collapsed="false">
      <c r="A52" s="5" t="s">
        <v>480</v>
      </c>
      <c r="B52" s="5" t="s">
        <v>481</v>
      </c>
      <c r="C52" s="5" t="s">
        <v>482</v>
      </c>
      <c r="D52" s="5" t="s">
        <v>482</v>
      </c>
      <c r="E52" s="5" t="s">
        <v>348</v>
      </c>
      <c r="F52" s="5" t="s">
        <v>483</v>
      </c>
      <c r="G52" s="5"/>
      <c r="H52" s="31"/>
      <c r="I52" s="31"/>
      <c r="J52" s="31"/>
      <c r="K52" s="31"/>
      <c r="L52" s="31"/>
      <c r="M52" s="31"/>
      <c r="N52" s="31"/>
      <c r="O52" s="31"/>
      <c r="P52" s="31"/>
      <c r="Q52" s="31"/>
      <c r="R52" s="31"/>
      <c r="S52" s="31"/>
      <c r="T52" s="31"/>
    </row>
    <row r="53" customFormat="false" ht="12.75" hidden="false" customHeight="true" outlineLevel="0" collapsed="false">
      <c r="A53" s="5" t="s">
        <v>484</v>
      </c>
      <c r="B53" s="5" t="s">
        <v>485</v>
      </c>
      <c r="C53" s="5" t="s">
        <v>486</v>
      </c>
      <c r="D53" s="5" t="s">
        <v>486</v>
      </c>
      <c r="E53" s="5" t="s">
        <v>348</v>
      </c>
      <c r="F53" s="5" t="s">
        <v>487</v>
      </c>
      <c r="G53" s="5"/>
      <c r="H53" s="31"/>
      <c r="I53" s="31"/>
      <c r="J53" s="31"/>
      <c r="K53" s="31"/>
      <c r="L53" s="31"/>
      <c r="M53" s="31"/>
      <c r="N53" s="31"/>
      <c r="O53" s="31"/>
      <c r="P53" s="31"/>
      <c r="Q53" s="31"/>
      <c r="R53" s="31"/>
      <c r="S53" s="31"/>
      <c r="T53" s="31"/>
    </row>
    <row r="54" customFormat="false" ht="12.75" hidden="false" customHeight="true" outlineLevel="0" collapsed="false">
      <c r="A54" s="5" t="s">
        <v>488</v>
      </c>
      <c r="B54" s="5" t="s">
        <v>489</v>
      </c>
      <c r="C54" s="5" t="s">
        <v>490</v>
      </c>
      <c r="D54" s="5" t="s">
        <v>490</v>
      </c>
      <c r="E54" s="5" t="s">
        <v>348</v>
      </c>
      <c r="F54" s="5" t="s">
        <v>487</v>
      </c>
      <c r="G54" s="5"/>
      <c r="H54" s="31"/>
      <c r="I54" s="31"/>
      <c r="J54" s="31"/>
      <c r="K54" s="31"/>
      <c r="L54" s="31"/>
      <c r="M54" s="31"/>
      <c r="N54" s="31"/>
      <c r="O54" s="31"/>
      <c r="P54" s="31"/>
      <c r="Q54" s="31"/>
      <c r="R54" s="31"/>
      <c r="S54" s="31"/>
      <c r="T54" s="31"/>
    </row>
    <row r="55" customFormat="false" ht="12.75" hidden="false" customHeight="true" outlineLevel="0" collapsed="false">
      <c r="A55" s="5" t="s">
        <v>491</v>
      </c>
      <c r="B55" s="5" t="s">
        <v>492</v>
      </c>
      <c r="C55" s="5" t="s">
        <v>486</v>
      </c>
      <c r="D55" s="5" t="s">
        <v>486</v>
      </c>
      <c r="E55" s="5" t="s">
        <v>348</v>
      </c>
      <c r="F55" s="5" t="s">
        <v>493</v>
      </c>
      <c r="G55" s="5"/>
      <c r="H55" s="31"/>
      <c r="I55" s="31"/>
      <c r="J55" s="31"/>
      <c r="K55" s="31"/>
      <c r="L55" s="31"/>
      <c r="M55" s="31"/>
      <c r="N55" s="31"/>
      <c r="O55" s="31"/>
      <c r="P55" s="31"/>
      <c r="Q55" s="31"/>
      <c r="R55" s="31"/>
      <c r="S55" s="31"/>
      <c r="T55" s="31"/>
    </row>
    <row r="56" customFormat="false" ht="12.75" hidden="false" customHeight="true" outlineLevel="0" collapsed="false">
      <c r="A56" s="5" t="s">
        <v>494</v>
      </c>
      <c r="B56" s="5" t="s">
        <v>495</v>
      </c>
      <c r="C56" s="5" t="s">
        <v>482</v>
      </c>
      <c r="D56" s="5" t="s">
        <v>496</v>
      </c>
      <c r="E56" s="5" t="s">
        <v>348</v>
      </c>
      <c r="F56" s="5" t="s">
        <v>497</v>
      </c>
      <c r="G56" s="5"/>
      <c r="H56" s="31"/>
      <c r="I56" s="31"/>
      <c r="J56" s="31"/>
      <c r="K56" s="31"/>
      <c r="L56" s="31"/>
      <c r="M56" s="31"/>
      <c r="N56" s="31"/>
      <c r="O56" s="31"/>
      <c r="P56" s="31"/>
      <c r="Q56" s="31"/>
      <c r="R56" s="31"/>
      <c r="S56" s="31"/>
      <c r="T56" s="31"/>
    </row>
    <row r="57" customFormat="false" ht="12.75" hidden="false" customHeight="true" outlineLevel="0" collapsed="false">
      <c r="A57" s="5" t="s">
        <v>498</v>
      </c>
      <c r="B57" s="5" t="s">
        <v>499</v>
      </c>
      <c r="C57" s="5" t="s">
        <v>482</v>
      </c>
      <c r="D57" s="5" t="s">
        <v>482</v>
      </c>
      <c r="E57" s="5" t="s">
        <v>348</v>
      </c>
      <c r="F57" s="5" t="s">
        <v>500</v>
      </c>
      <c r="G57" s="5"/>
      <c r="H57" s="31"/>
      <c r="I57" s="31"/>
      <c r="J57" s="31"/>
      <c r="K57" s="31"/>
      <c r="L57" s="31"/>
      <c r="M57" s="31"/>
      <c r="N57" s="31"/>
      <c r="O57" s="31"/>
      <c r="P57" s="31"/>
      <c r="Q57" s="31"/>
      <c r="R57" s="31"/>
      <c r="S57" s="31"/>
      <c r="T57" s="31"/>
    </row>
    <row r="58" customFormat="false" ht="12.75" hidden="false" customHeight="true" outlineLevel="0" collapsed="false">
      <c r="A58" s="5" t="s">
        <v>501</v>
      </c>
      <c r="B58" s="5" t="s">
        <v>502</v>
      </c>
      <c r="C58" s="5" t="s">
        <v>503</v>
      </c>
      <c r="D58" s="5" t="s">
        <v>503</v>
      </c>
      <c r="E58" s="5" t="s">
        <v>348</v>
      </c>
      <c r="F58" s="5" t="s">
        <v>493</v>
      </c>
      <c r="G58" s="5"/>
      <c r="H58" s="31"/>
      <c r="I58" s="31"/>
      <c r="J58" s="31"/>
      <c r="K58" s="31"/>
      <c r="L58" s="31"/>
      <c r="M58" s="31"/>
      <c r="N58" s="31"/>
      <c r="O58" s="31"/>
      <c r="P58" s="31"/>
      <c r="Q58" s="31"/>
      <c r="R58" s="31"/>
      <c r="S58" s="31"/>
      <c r="T58" s="31"/>
    </row>
    <row r="59" customFormat="false" ht="26.25" hidden="false" customHeight="true" outlineLevel="0" collapsed="false">
      <c r="A59" s="5" t="s">
        <v>504</v>
      </c>
      <c r="B59" s="5" t="s">
        <v>505</v>
      </c>
      <c r="C59" s="5" t="s">
        <v>506</v>
      </c>
      <c r="D59" s="5" t="s">
        <v>506</v>
      </c>
      <c r="E59" s="5" t="s">
        <v>348</v>
      </c>
      <c r="F59" s="5" t="s">
        <v>507</v>
      </c>
      <c r="G59" s="5"/>
      <c r="H59" s="31"/>
      <c r="I59" s="31"/>
      <c r="J59" s="31"/>
      <c r="K59" s="31"/>
      <c r="L59" s="31"/>
      <c r="M59" s="31"/>
      <c r="N59" s="31"/>
      <c r="O59" s="31"/>
      <c r="P59" s="31"/>
      <c r="Q59" s="31"/>
      <c r="R59" s="31"/>
      <c r="S59" s="31"/>
      <c r="T59" s="31"/>
    </row>
    <row r="60" customFormat="false" ht="26.25" hidden="false" customHeight="true" outlineLevel="0" collapsed="false">
      <c r="A60" s="5" t="s">
        <v>508</v>
      </c>
      <c r="B60" s="5" t="s">
        <v>509</v>
      </c>
      <c r="C60" s="5" t="s">
        <v>15</v>
      </c>
      <c r="D60" s="5" t="s">
        <v>15</v>
      </c>
      <c r="E60" s="5" t="s">
        <v>348</v>
      </c>
      <c r="F60" s="5"/>
      <c r="G60" s="5"/>
      <c r="H60" s="31"/>
      <c r="I60" s="31"/>
      <c r="J60" s="31"/>
      <c r="K60" s="31"/>
      <c r="L60" s="31"/>
      <c r="M60" s="31"/>
      <c r="N60" s="31"/>
      <c r="O60" s="31"/>
      <c r="P60" s="31"/>
      <c r="Q60" s="31"/>
      <c r="R60" s="31"/>
      <c r="S60" s="31"/>
      <c r="T60" s="31"/>
    </row>
    <row r="61" customFormat="false" ht="12.75" hidden="false" customHeight="true" outlineLevel="0" collapsed="false">
      <c r="A61" s="7" t="s">
        <v>510</v>
      </c>
      <c r="B61" s="5" t="s">
        <v>511</v>
      </c>
      <c r="C61" s="7" t="s">
        <v>348</v>
      </c>
      <c r="D61" s="5" t="s">
        <v>348</v>
      </c>
      <c r="E61" s="5" t="s">
        <v>348</v>
      </c>
      <c r="F61" s="7" t="s">
        <v>512</v>
      </c>
      <c r="G61" s="5"/>
      <c r="H61" s="31"/>
      <c r="I61" s="31"/>
      <c r="J61" s="31"/>
      <c r="K61" s="31"/>
      <c r="L61" s="31"/>
      <c r="M61" s="31"/>
      <c r="N61" s="31"/>
      <c r="O61" s="31"/>
      <c r="P61" s="31"/>
      <c r="Q61" s="31"/>
      <c r="R61" s="31"/>
      <c r="S61" s="31"/>
      <c r="T61" s="31"/>
    </row>
    <row r="62" customFormat="false" ht="12.75" hidden="false" customHeight="true" outlineLevel="0" collapsed="false">
      <c r="A62" s="7" t="s">
        <v>513</v>
      </c>
      <c r="B62" s="5" t="s">
        <v>514</v>
      </c>
      <c r="C62" s="7" t="s">
        <v>486</v>
      </c>
      <c r="D62" s="5" t="s">
        <v>486</v>
      </c>
      <c r="E62" s="5" t="s">
        <v>348</v>
      </c>
      <c r="F62" s="7" t="s">
        <v>515</v>
      </c>
      <c r="G62" s="5"/>
      <c r="H62" s="31"/>
      <c r="I62" s="31"/>
      <c r="J62" s="31"/>
      <c r="K62" s="31"/>
      <c r="L62" s="31"/>
      <c r="M62" s="31"/>
      <c r="N62" s="31"/>
      <c r="O62" s="31"/>
      <c r="P62" s="31"/>
      <c r="Q62" s="31"/>
      <c r="R62" s="31"/>
      <c r="S62" s="31"/>
      <c r="T62" s="31"/>
    </row>
    <row r="63" customFormat="false" ht="12.75" hidden="false" customHeight="true" outlineLevel="0" collapsed="false">
      <c r="A63" s="7" t="s">
        <v>516</v>
      </c>
      <c r="B63" s="5" t="s">
        <v>517</v>
      </c>
      <c r="C63" s="7" t="s">
        <v>486</v>
      </c>
      <c r="D63" s="5" t="s">
        <v>486</v>
      </c>
      <c r="E63" s="5" t="s">
        <v>348</v>
      </c>
      <c r="F63" s="7" t="s">
        <v>518</v>
      </c>
      <c r="G63" s="5"/>
      <c r="H63" s="31"/>
      <c r="I63" s="31"/>
      <c r="J63" s="31"/>
      <c r="K63" s="31"/>
      <c r="L63" s="31"/>
      <c r="M63" s="31"/>
      <c r="N63" s="31"/>
      <c r="O63" s="31"/>
      <c r="P63" s="31"/>
      <c r="Q63" s="31"/>
      <c r="R63" s="31"/>
      <c r="S63" s="31"/>
      <c r="T63" s="31"/>
    </row>
    <row r="64" customFormat="false" ht="12.75" hidden="false" customHeight="true" outlineLevel="0" collapsed="false">
      <c r="A64" s="7" t="s">
        <v>519</v>
      </c>
      <c r="B64" s="5" t="s">
        <v>520</v>
      </c>
      <c r="C64" s="7" t="s">
        <v>486</v>
      </c>
      <c r="D64" s="5" t="s">
        <v>486</v>
      </c>
      <c r="E64" s="5" t="s">
        <v>348</v>
      </c>
      <c r="F64" s="7" t="s">
        <v>521</v>
      </c>
      <c r="G64" s="5"/>
      <c r="H64" s="31"/>
      <c r="I64" s="31"/>
      <c r="J64" s="31"/>
      <c r="K64" s="31"/>
      <c r="L64" s="31"/>
      <c r="M64" s="31"/>
      <c r="N64" s="31"/>
      <c r="O64" s="31"/>
      <c r="P64" s="31"/>
      <c r="Q64" s="31"/>
      <c r="R64" s="31"/>
      <c r="S64" s="31"/>
      <c r="T64" s="31"/>
    </row>
    <row r="65" customFormat="false" ht="12.75" hidden="false" customHeight="true" outlineLevel="0" collapsed="false">
      <c r="A65" s="7" t="s">
        <v>522</v>
      </c>
      <c r="B65" s="5" t="s">
        <v>523</v>
      </c>
      <c r="C65" s="7" t="s">
        <v>486</v>
      </c>
      <c r="D65" s="5" t="s">
        <v>486</v>
      </c>
      <c r="E65" s="5" t="s">
        <v>348</v>
      </c>
      <c r="F65" s="7" t="s">
        <v>524</v>
      </c>
      <c r="G65" s="5"/>
      <c r="H65" s="31"/>
      <c r="I65" s="31"/>
      <c r="J65" s="31"/>
      <c r="K65" s="31"/>
      <c r="L65" s="31"/>
      <c r="M65" s="31"/>
      <c r="N65" s="31"/>
      <c r="O65" s="31"/>
      <c r="P65" s="31"/>
      <c r="Q65" s="31"/>
      <c r="R65" s="31"/>
      <c r="S65" s="31"/>
      <c r="T65" s="31"/>
    </row>
    <row r="66" customFormat="false" ht="12.75" hidden="false" customHeight="true" outlineLevel="0" collapsed="false">
      <c r="A66" s="7" t="s">
        <v>525</v>
      </c>
      <c r="B66" s="5" t="s">
        <v>526</v>
      </c>
      <c r="C66" s="7" t="s">
        <v>486</v>
      </c>
      <c r="D66" s="5" t="s">
        <v>486</v>
      </c>
      <c r="E66" s="5" t="s">
        <v>348</v>
      </c>
      <c r="F66" s="7" t="s">
        <v>527</v>
      </c>
      <c r="G66" s="5"/>
      <c r="H66" s="31"/>
      <c r="I66" s="31"/>
      <c r="J66" s="31"/>
      <c r="K66" s="31"/>
      <c r="L66" s="31"/>
      <c r="M66" s="31"/>
      <c r="N66" s="31"/>
      <c r="O66" s="31"/>
      <c r="P66" s="31"/>
      <c r="Q66" s="31"/>
      <c r="R66" s="31"/>
      <c r="S66" s="31"/>
      <c r="T66" s="31"/>
    </row>
    <row r="67" customFormat="false" ht="12.75" hidden="false" customHeight="true" outlineLevel="0" collapsed="false">
      <c r="A67" s="7" t="s">
        <v>528</v>
      </c>
      <c r="B67" s="5" t="s">
        <v>529</v>
      </c>
      <c r="C67" s="7" t="s">
        <v>486</v>
      </c>
      <c r="D67" s="5" t="s">
        <v>486</v>
      </c>
      <c r="E67" s="5" t="s">
        <v>348</v>
      </c>
      <c r="F67" s="7" t="s">
        <v>530</v>
      </c>
      <c r="G67" s="5"/>
      <c r="H67" s="31"/>
      <c r="I67" s="31"/>
      <c r="J67" s="31"/>
      <c r="K67" s="31"/>
      <c r="L67" s="31"/>
      <c r="M67" s="31"/>
      <c r="N67" s="31"/>
      <c r="O67" s="31"/>
      <c r="P67" s="31"/>
      <c r="Q67" s="31"/>
      <c r="R67" s="31"/>
      <c r="S67" s="31"/>
      <c r="T67" s="31"/>
    </row>
    <row r="68" customFormat="false" ht="12.75" hidden="false" customHeight="true" outlineLevel="0" collapsed="false">
      <c r="A68" s="7" t="s">
        <v>531</v>
      </c>
      <c r="B68" s="5" t="s">
        <v>532</v>
      </c>
      <c r="C68" s="7" t="s">
        <v>348</v>
      </c>
      <c r="D68" s="5" t="str">
        <f aca="false">IF(COUNTA(Evidence_Status_Tokens!A3:A10)&gt;=8,"PASS","FAIL")</f>
        <v>PASS</v>
      </c>
      <c r="E68" s="5" t="str">
        <f aca="false">IF(C68=D68,"PASS","FAIL")</f>
        <v>PASS</v>
      </c>
      <c r="F68" s="7" t="s">
        <v>533</v>
      </c>
      <c r="G68" s="5"/>
      <c r="H68" s="31"/>
      <c r="I68" s="31"/>
      <c r="J68" s="31"/>
      <c r="K68" s="31"/>
      <c r="L68" s="31"/>
      <c r="M68" s="31"/>
      <c r="N68" s="31"/>
      <c r="O68" s="31"/>
      <c r="P68" s="31"/>
      <c r="Q68" s="31"/>
      <c r="R68" s="31"/>
      <c r="S68" s="31"/>
      <c r="T68" s="31"/>
    </row>
    <row r="69" customFormat="false" ht="12.75" hidden="false" customHeight="true" outlineLevel="0" collapsed="false">
      <c r="A69" s="7" t="s">
        <v>534</v>
      </c>
      <c r="B69" s="5" t="s">
        <v>535</v>
      </c>
      <c r="C69" s="7" t="s">
        <v>348</v>
      </c>
      <c r="D69" s="5" t="str">
        <f aca="false">IF(COUNTA(Compact_Profiles!A3:A7)&gt;=5,"PASS","FAIL")</f>
        <v>PASS</v>
      </c>
      <c r="E69" s="5" t="str">
        <f aca="false">IF(C69=D69,"PASS","FAIL")</f>
        <v>PASS</v>
      </c>
      <c r="F69" s="7" t="s">
        <v>536</v>
      </c>
      <c r="G69" s="5"/>
      <c r="H69" s="31"/>
      <c r="I69" s="31"/>
      <c r="J69" s="31"/>
      <c r="K69" s="31"/>
      <c r="L69" s="31"/>
      <c r="M69" s="31"/>
      <c r="N69" s="31"/>
      <c r="O69" s="31"/>
      <c r="P69" s="31"/>
      <c r="Q69" s="31"/>
      <c r="R69" s="31"/>
      <c r="S69" s="31"/>
      <c r="T69" s="31"/>
    </row>
    <row r="70" customFormat="false" ht="12.75" hidden="false" customHeight="true" outlineLevel="0" collapsed="false">
      <c r="A70" s="7" t="s">
        <v>537</v>
      </c>
      <c r="B70" s="5" t="s">
        <v>538</v>
      </c>
      <c r="C70" s="7" t="s">
        <v>348</v>
      </c>
      <c r="D70" s="5" t="str">
        <f aca="false">IF(COUNTA(SGP_Split_Guardrail!A11:A13)&gt;=3,"PASS","FAIL")</f>
        <v>PASS</v>
      </c>
      <c r="E70" s="5" t="str">
        <f aca="false">IF(C70=D70,"PASS","FAIL")</f>
        <v>PASS</v>
      </c>
      <c r="F70" s="7" t="s">
        <v>539</v>
      </c>
      <c r="G70" s="5"/>
      <c r="H70" s="31"/>
      <c r="I70" s="31"/>
      <c r="J70" s="31"/>
      <c r="K70" s="31"/>
      <c r="L70" s="31"/>
      <c r="M70" s="31"/>
      <c r="N70" s="31"/>
      <c r="O70" s="31"/>
      <c r="P70" s="31"/>
      <c r="Q70" s="31"/>
      <c r="R70" s="31"/>
      <c r="S70" s="31"/>
      <c r="T70" s="31"/>
    </row>
    <row r="71" customFormat="false" ht="12.75" hidden="false" customHeight="true" outlineLevel="0" collapsed="false">
      <c r="A71" s="7" t="s">
        <v>540</v>
      </c>
      <c r="B71" s="5" t="s">
        <v>541</v>
      </c>
      <c r="C71" s="7" t="s">
        <v>348</v>
      </c>
      <c r="D71" s="5" t="str">
        <f aca="false">IF(COUNTA(Validation_Roadmap!A3:A9)&gt;=7,"PASS","FAIL")</f>
        <v>PASS</v>
      </c>
      <c r="E71" s="5" t="str">
        <f aca="false">IF(C71=D71,"PASS","FAIL")</f>
        <v>PASS</v>
      </c>
      <c r="F71" s="7" t="s">
        <v>542</v>
      </c>
      <c r="G71" s="5"/>
      <c r="H71" s="31"/>
      <c r="I71" s="31"/>
      <c r="J71" s="31"/>
      <c r="K71" s="31"/>
      <c r="L71" s="31"/>
      <c r="M71" s="31"/>
      <c r="N71" s="31"/>
      <c r="O71" s="31"/>
      <c r="P71" s="31"/>
      <c r="Q71" s="31"/>
      <c r="R71" s="31"/>
      <c r="S71" s="31"/>
      <c r="T71" s="31"/>
    </row>
    <row r="72" customFormat="false" ht="12.75" hidden="false" customHeight="true" outlineLevel="0" collapsed="false">
      <c r="A72" s="7" t="s">
        <v>543</v>
      </c>
      <c r="B72" s="5" t="s">
        <v>544</v>
      </c>
      <c r="C72" s="7" t="s">
        <v>348</v>
      </c>
      <c r="D72" s="5" t="str">
        <f aca="false">IF(AND(COUNTA(Boundary_Risk_Register!A4:A10)&gt;=7,COUNTIF(Boundary_Risk_Register!J4:J10,"PASS")&gt;=7),"PASS","FAIL")</f>
        <v>PASS</v>
      </c>
      <c r="E72" s="5" t="str">
        <f aca="false">IF(C72=D72,"PASS","FAIL")</f>
        <v>PASS</v>
      </c>
      <c r="F72" s="7" t="s">
        <v>545</v>
      </c>
      <c r="G72" s="5"/>
      <c r="H72" s="31"/>
      <c r="I72" s="31"/>
      <c r="J72" s="31"/>
      <c r="K72" s="31"/>
      <c r="L72" s="31"/>
      <c r="M72" s="31"/>
      <c r="N72" s="31"/>
      <c r="O72" s="31"/>
      <c r="P72" s="31"/>
      <c r="Q72" s="31"/>
      <c r="R72" s="31"/>
      <c r="S72" s="31"/>
      <c r="T72" s="31"/>
    </row>
    <row r="73" customFormat="false" ht="12.75" hidden="false" customHeight="true" outlineLevel="0" collapsed="false">
      <c r="A73" s="7" t="s">
        <v>546</v>
      </c>
      <c r="B73" s="5" t="s">
        <v>547</v>
      </c>
      <c r="C73" s="7" t="s">
        <v>348</v>
      </c>
      <c r="D73" s="5" t="str">
        <f aca="false">IF(COUNTA(PCC!A190:A199)&gt;=10,"PASS","FAIL")</f>
        <v>PASS</v>
      </c>
      <c r="E73" s="5" t="str">
        <f aca="false">IF(C73=D73,"PASS","FAIL")</f>
        <v>PASS</v>
      </c>
      <c r="F73" s="7" t="s">
        <v>548</v>
      </c>
      <c r="G73" s="5"/>
      <c r="H73" s="31"/>
      <c r="I73" s="31"/>
      <c r="J73" s="31"/>
      <c r="K73" s="31"/>
      <c r="L73" s="31"/>
      <c r="M73" s="31"/>
      <c r="N73" s="31"/>
      <c r="O73" s="31"/>
      <c r="P73" s="31"/>
      <c r="Q73" s="31"/>
      <c r="R73" s="31"/>
      <c r="S73" s="31"/>
      <c r="T73" s="31"/>
    </row>
    <row r="74" customFormat="false" ht="12.75" hidden="false" customHeight="true" outlineLevel="0" collapsed="false">
      <c r="A74" s="7" t="s">
        <v>549</v>
      </c>
      <c r="B74" s="5" t="s">
        <v>550</v>
      </c>
      <c r="C74" s="7" t="s">
        <v>348</v>
      </c>
      <c r="D74" s="5" t="str">
        <f aca="false">IF(COUNTIF(SGP_Split_Guardrail!E11:E13,"PASS")&gt;=3,"PASS","FAIL")</f>
        <v>PASS</v>
      </c>
      <c r="E74" s="5" t="str">
        <f aca="false">IF(C74=D74,"PASS","FAIL")</f>
        <v>PASS</v>
      </c>
      <c r="F74" s="7" t="s">
        <v>539</v>
      </c>
      <c r="G74" s="5"/>
      <c r="H74" s="31"/>
      <c r="I74" s="31"/>
      <c r="J74" s="31"/>
      <c r="K74" s="31"/>
      <c r="L74" s="31"/>
      <c r="M74" s="31"/>
      <c r="N74" s="31"/>
      <c r="O74" s="31"/>
      <c r="P74" s="31"/>
      <c r="Q74" s="31"/>
      <c r="R74" s="31"/>
      <c r="S74" s="31"/>
      <c r="T74" s="31"/>
    </row>
    <row r="75" customFormat="false" ht="12.75" hidden="false" customHeight="true" outlineLevel="0" collapsed="false">
      <c r="A75" s="7" t="s">
        <v>551</v>
      </c>
      <c r="B75" s="5" t="s">
        <v>552</v>
      </c>
      <c r="C75" s="7" t="s">
        <v>348</v>
      </c>
      <c r="D75" s="5" t="str">
        <f aca="false">IF(AND(Evidence_Status_Tokens!H3="PASS",Evidence_Status_Tokens!H4="PASS"),"PASS","FAIL")</f>
        <v>PASS</v>
      </c>
      <c r="E75" s="5" t="str">
        <f aca="false">IF(C75=D75,"PASS","FAIL")</f>
        <v>PASS</v>
      </c>
      <c r="F75" s="7" t="s">
        <v>553</v>
      </c>
      <c r="G75" s="5"/>
      <c r="H75" s="31"/>
      <c r="I75" s="31"/>
      <c r="J75" s="31"/>
      <c r="K75" s="31"/>
      <c r="L75" s="31"/>
      <c r="M75" s="31"/>
      <c r="N75" s="31"/>
      <c r="O75" s="31"/>
      <c r="P75" s="31"/>
      <c r="Q75" s="31"/>
      <c r="R75" s="31"/>
      <c r="S75" s="31"/>
      <c r="T75" s="31"/>
    </row>
    <row r="76" customFormat="false" ht="12.75" hidden="false" customHeight="true" outlineLevel="0" collapsed="false">
      <c r="A76" s="7" t="s">
        <v>554</v>
      </c>
      <c r="B76" s="5" t="s">
        <v>555</v>
      </c>
      <c r="C76" s="7" t="s">
        <v>348</v>
      </c>
      <c r="D76" s="5" t="str">
        <f aca="false">IF(COUNTIF(Boundary_Risk_Register!J4:J10,"PASS")&gt;=7,"PASS","FAIL")</f>
        <v>PASS</v>
      </c>
      <c r="E76" s="5" t="str">
        <f aca="false">IF(C76=D76,"PASS","FAIL")</f>
        <v>PASS</v>
      </c>
      <c r="F76" s="7" t="s">
        <v>545</v>
      </c>
      <c r="G76" s="5"/>
      <c r="H76" s="31"/>
      <c r="I76" s="31"/>
      <c r="J76" s="31"/>
      <c r="K76" s="31"/>
      <c r="L76" s="31"/>
      <c r="M76" s="31"/>
      <c r="N76" s="31"/>
      <c r="O76" s="31"/>
      <c r="P76" s="31"/>
      <c r="Q76" s="31"/>
      <c r="R76" s="31"/>
      <c r="S76" s="31"/>
      <c r="T76" s="31"/>
    </row>
    <row r="77" customFormat="false" ht="12.75" hidden="false" customHeight="true" outlineLevel="0" collapsed="false">
      <c r="A77" s="7" t="s">
        <v>556</v>
      </c>
      <c r="B77" s="5" t="s">
        <v>557</v>
      </c>
      <c r="C77" s="7" t="s">
        <v>348</v>
      </c>
      <c r="D77" s="5" t="str">
        <f aca="false">IF(COUNTIF(E68:E76,"PASS")=9,"PASS","FAIL")</f>
        <v>PASS</v>
      </c>
      <c r="E77" s="5" t="str">
        <f aca="false">IF(C77=D77,"PASS","FAIL")</f>
        <v>PASS</v>
      </c>
      <c r="F77" s="7" t="s">
        <v>558</v>
      </c>
      <c r="G77" s="5"/>
      <c r="H77" s="31"/>
      <c r="I77" s="31"/>
      <c r="J77" s="31"/>
      <c r="K77" s="31"/>
      <c r="L77" s="31"/>
      <c r="M77" s="31"/>
      <c r="N77" s="31"/>
      <c r="O77" s="31"/>
      <c r="P77" s="31"/>
      <c r="Q77" s="31"/>
      <c r="R77" s="31"/>
      <c r="S77" s="31"/>
      <c r="T77" s="31"/>
    </row>
    <row r="78" customFormat="false" ht="12.75" hidden="false" customHeight="true" outlineLevel="0" collapsed="false">
      <c r="A78" s="7" t="s">
        <v>559</v>
      </c>
      <c r="B78" s="5" t="s">
        <v>560</v>
      </c>
      <c r="C78" s="7" t="s">
        <v>128</v>
      </c>
      <c r="D78" s="5" t="s">
        <v>128</v>
      </c>
      <c r="E78" s="5" t="s">
        <v>348</v>
      </c>
      <c r="F78" s="7" t="s">
        <v>561</v>
      </c>
      <c r="G78" s="5"/>
      <c r="H78" s="31"/>
      <c r="I78" s="31"/>
      <c r="J78" s="31"/>
      <c r="K78" s="31"/>
      <c r="L78" s="31"/>
      <c r="M78" s="31"/>
      <c r="N78" s="31"/>
      <c r="O78" s="31"/>
      <c r="P78" s="31"/>
      <c r="Q78" s="31"/>
      <c r="R78" s="31"/>
      <c r="S78" s="31"/>
      <c r="T78" s="31"/>
    </row>
    <row r="79" customFormat="false" ht="12.75" hidden="false" customHeight="true" outlineLevel="0" collapsed="false">
      <c r="A79" s="7" t="s">
        <v>562</v>
      </c>
      <c r="B79" s="5" t="s">
        <v>563</v>
      </c>
      <c r="C79" s="7" t="s">
        <v>348</v>
      </c>
      <c r="D79" s="5" t="str">
        <f aca="false">IF(AND(ABS(RLS!$I$53-PLSS_Local_Scope!$E$12)&lt;0.000000001,ABS(RLS!$I$54-PLSS_Local_Scope!$E$13)&lt;0.000000001,ABS(RLS!$I$55-PLSS_Local_Scope!$E$14)&lt;0.000000001,ABS(RLS!$I$56-PLSS_Local_Scope!$E$15)&lt;0.000000001,ABS(RLS!$I$57-PLSS_Local_Scope!$E$16)&lt;0.000000001,ABS(RLS!$I$58-PLSS_Local_Scope!$E$17)&lt;0.000000001,ABS(RLS!$I$59-PLSS_Local_Scope!$E$18)&lt;0.000000001),"PASS","FAIL")</f>
        <v>PASS</v>
      </c>
      <c r="E79" s="5" t="str">
        <f aca="false">IF(C79=D79,"PASS","FAIL")</f>
        <v>PASS</v>
      </c>
      <c r="F79" s="7" t="s">
        <v>564</v>
      </c>
      <c r="G79" s="5"/>
      <c r="H79" s="31"/>
      <c r="I79" s="31"/>
      <c r="J79" s="31"/>
      <c r="K79" s="31"/>
      <c r="L79" s="31"/>
      <c r="M79" s="31"/>
      <c r="N79" s="31"/>
      <c r="O79" s="31"/>
      <c r="P79" s="31"/>
      <c r="Q79" s="31"/>
      <c r="R79" s="31"/>
      <c r="S79" s="31"/>
      <c r="T79" s="31"/>
    </row>
    <row r="80" customFormat="false" ht="12.75" hidden="false" customHeight="true" outlineLevel="0" collapsed="false">
      <c r="A80" s="7" t="s">
        <v>565</v>
      </c>
      <c r="B80" s="5" t="s">
        <v>566</v>
      </c>
      <c r="C80" s="7" t="n">
        <v>1</v>
      </c>
      <c r="D80" s="5" t="n">
        <f aca="false">SUM(RLS!$I$53:$I$59)</f>
        <v>1</v>
      </c>
      <c r="E80" s="5" t="str">
        <f aca="false">IF(AND(ISNUMBER(C80),ISNUMBER(D80)),IF(ABS(C80-D80)&lt;0.000000001,"PASS","FAIL"),IF(C80=D80,"PASS","FAIL"))</f>
        <v>PASS</v>
      </c>
      <c r="F80" s="7" t="s">
        <v>567</v>
      </c>
      <c r="G80" s="5"/>
      <c r="H80" s="31"/>
      <c r="I80" s="31"/>
      <c r="J80" s="31"/>
      <c r="K80" s="31"/>
      <c r="L80" s="31"/>
      <c r="M80" s="31"/>
      <c r="N80" s="31"/>
      <c r="O80" s="31"/>
      <c r="P80" s="31"/>
      <c r="Q80" s="31"/>
      <c r="R80" s="31"/>
      <c r="S80" s="31"/>
      <c r="T80" s="31"/>
    </row>
    <row r="81" customFormat="false" ht="12.75" hidden="false" customHeight="true" outlineLevel="0" collapsed="false">
      <c r="A81" s="36" t="s">
        <v>568</v>
      </c>
      <c r="B81" s="22" t="s">
        <v>569</v>
      </c>
      <c r="C81" s="36" t="n">
        <v>1</v>
      </c>
      <c r="D81" s="22" t="n">
        <f aca="false">SUM(RLS!$B$52:$H$52)</f>
        <v>1</v>
      </c>
      <c r="E81" s="22" t="str">
        <f aca="false">IF(AND(ISNUMBER(C81),ISNUMBER(D81)),IF(ABS(C81-D81)&lt;0.000000001,"PASS","FAIL"),IF(C81=D81,"PASS","FAIL"))</f>
        <v>PASS</v>
      </c>
      <c r="F81" s="36" t="s">
        <v>570</v>
      </c>
      <c r="G81" s="5"/>
    </row>
    <row r="82" customFormat="false" ht="12.75" hidden="false" customHeight="true" outlineLevel="0" collapsed="false">
      <c r="A82" s="36" t="s">
        <v>571</v>
      </c>
      <c r="B82" s="22" t="s">
        <v>572</v>
      </c>
      <c r="C82" s="36" t="s">
        <v>348</v>
      </c>
      <c r="D82" s="22" t="str">
        <f aca="false">IF(AND(ABS(RLS!$B$5-SUMPRODUCT(I_prop!$B$7:$H$13,RLS!$B$53:$H$59))&lt;0.000000001,ABS(RLS!$B$6-SUMPRODUCT(I_prop!$B$18:$H$24,RLS!$B$53:$H$59))&lt;0.000000001),"PASS","FAIL")</f>
        <v>PASS</v>
      </c>
      <c r="E82" s="22" t="str">
        <f aca="false">IF(AND(ISNUMBER(C82),ISNUMBER(D82)),IF(ABS(C82-D82)&lt;0.000000001,"PASS","FAIL"),IF(C82=D82,"PASS","FAIL"))</f>
        <v>PASS</v>
      </c>
      <c r="F82" s="36" t="s">
        <v>573</v>
      </c>
      <c r="G82" s="5"/>
    </row>
    <row r="83" customFormat="false" ht="12.75" hidden="false" customHeight="true" outlineLevel="0" collapsed="false">
      <c r="A83" s="36" t="s">
        <v>574</v>
      </c>
      <c r="B83" s="22" t="s">
        <v>575</v>
      </c>
      <c r="C83" s="36" t="s">
        <v>14</v>
      </c>
      <c r="D83" s="22" t="str">
        <f aca="false">Release_Notes!$A$8</f>
        <v>Worked-run claimable</v>
      </c>
      <c r="E83" s="22" t="str">
        <f aca="false">IF(AND(ISNUMBER(C83),ISNUMBER(D83)),IF(ABS(C83-D83)&lt;0.000000001,"PASS","FAIL"),IF(C83=D83,"PASS","FAIL"))</f>
        <v>PASS</v>
      </c>
      <c r="F83" s="36" t="s">
        <v>576</v>
      </c>
      <c r="G83" s="5"/>
    </row>
    <row r="84" customFormat="false" ht="14.25" hidden="false" customHeight="true" outlineLevel="0" collapsed="false">
      <c r="A84" s="36" t="s">
        <v>577</v>
      </c>
      <c r="B84" s="22" t="s">
        <v>578</v>
      </c>
      <c r="C84" s="36" t="s">
        <v>486</v>
      </c>
      <c r="D84" s="22" t="s">
        <v>486</v>
      </c>
      <c r="E84" s="22" t="s">
        <v>348</v>
      </c>
      <c r="F84" s="36" t="s">
        <v>579</v>
      </c>
      <c r="G84" s="5"/>
    </row>
    <row r="85" customFormat="false" ht="14.25" hidden="false" customHeight="true" outlineLevel="0" collapsed="false">
      <c r="A85" s="36" t="s">
        <v>580</v>
      </c>
      <c r="B85" s="22" t="s">
        <v>581</v>
      </c>
      <c r="C85" s="36" t="s">
        <v>582</v>
      </c>
      <c r="D85" s="22" t="str">
        <f aca="false">ReferenceStructureRecord!Z2</f>
        <v>COMPLETE</v>
      </c>
      <c r="E85" s="22" t="str">
        <f aca="false">IF(C85=D85,"PASS","FAIL")</f>
        <v>PASS</v>
      </c>
      <c r="F85" s="36" t="s">
        <v>583</v>
      </c>
      <c r="G85" s="5"/>
    </row>
    <row r="86" customFormat="false" ht="14.25" hidden="false" customHeight="true" outlineLevel="0" collapsed="false">
      <c r="A86" s="36" t="s">
        <v>584</v>
      </c>
      <c r="B86" s="22" t="s">
        <v>585</v>
      </c>
      <c r="C86" s="36" t="s">
        <v>348</v>
      </c>
      <c r="D86" s="22" t="s">
        <v>348</v>
      </c>
      <c r="E86" s="22" t="s">
        <v>348</v>
      </c>
      <c r="F86" s="36" t="s">
        <v>586</v>
      </c>
      <c r="G86" s="5"/>
    </row>
    <row r="87" customFormat="false" ht="35.05" hidden="false" customHeight="false" outlineLevel="0" collapsed="false">
      <c r="A87" s="5" t="s">
        <v>587</v>
      </c>
      <c r="B87" s="5" t="s">
        <v>588</v>
      </c>
      <c r="C87" s="5" t="s">
        <v>589</v>
      </c>
      <c r="D87" s="5" t="s">
        <v>590</v>
      </c>
      <c r="E87" s="5" t="s">
        <v>591</v>
      </c>
      <c r="F87" s="5"/>
      <c r="G87" s="5" t="s">
        <v>592</v>
      </c>
    </row>
    <row r="88" customFormat="false" ht="35.05" hidden="false" customHeight="false" outlineLevel="0" collapsed="false">
      <c r="A88" s="5" t="s">
        <v>593</v>
      </c>
      <c r="B88" s="5" t="s">
        <v>594</v>
      </c>
      <c r="C88" s="5" t="s">
        <v>589</v>
      </c>
      <c r="D88" s="5" t="s">
        <v>595</v>
      </c>
      <c r="E88" s="5" t="s">
        <v>591</v>
      </c>
      <c r="F88" s="5"/>
      <c r="G88" s="5" t="s">
        <v>592</v>
      </c>
    </row>
    <row r="89" customFormat="false" ht="35.05" hidden="false" customHeight="false" outlineLevel="0" collapsed="false">
      <c r="A89" s="5" t="s">
        <v>596</v>
      </c>
      <c r="B89" s="5" t="s">
        <v>597</v>
      </c>
      <c r="C89" s="5" t="s">
        <v>589</v>
      </c>
      <c r="D89" s="5" t="s">
        <v>598</v>
      </c>
      <c r="E89" s="5" t="s">
        <v>591</v>
      </c>
      <c r="F89" s="5"/>
      <c r="G89" s="5" t="s">
        <v>592</v>
      </c>
    </row>
    <row r="90" customFormat="false" ht="35.05" hidden="false" customHeight="false" outlineLevel="0" collapsed="false">
      <c r="A90" s="5" t="s">
        <v>599</v>
      </c>
      <c r="B90" s="5" t="s">
        <v>600</v>
      </c>
      <c r="C90" s="5" t="s">
        <v>589</v>
      </c>
      <c r="D90" s="5" t="s">
        <v>601</v>
      </c>
      <c r="E90" s="5" t="s">
        <v>591</v>
      </c>
      <c r="F90" s="5"/>
      <c r="G90" s="5" t="s">
        <v>592</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2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1" width="33"/>
    <col collapsed="false" customWidth="true" hidden="false" outlineLevel="0" max="2" min="2" style="1" width="36"/>
    <col collapsed="false" customWidth="true" hidden="false" outlineLevel="0" max="3" min="3" style="2" width="36"/>
    <col collapsed="false" customWidth="true" hidden="false" outlineLevel="0" max="8" min="4" style="2" width="10"/>
  </cols>
  <sheetData>
    <row r="1" customFormat="false" ht="12.75" hidden="false" customHeight="true" outlineLevel="0" collapsed="false">
      <c r="A1" s="3" t="s">
        <v>602</v>
      </c>
      <c r="B1" s="3"/>
      <c r="C1" s="3"/>
      <c r="D1" s="3"/>
      <c r="E1" s="3"/>
      <c r="F1" s="3"/>
      <c r="G1" s="3"/>
      <c r="H1" s="3"/>
    </row>
    <row r="2" customFormat="false" ht="12.75" hidden="false" customHeight="true" outlineLevel="0" collapsed="false">
      <c r="A2" s="7" t="s">
        <v>603</v>
      </c>
      <c r="B2" s="34" t="s">
        <v>604</v>
      </c>
      <c r="C2" s="5"/>
      <c r="D2" s="5"/>
      <c r="E2" s="5"/>
      <c r="F2" s="5"/>
      <c r="G2" s="5"/>
      <c r="H2" s="5"/>
    </row>
    <row r="3" customFormat="false" ht="12.75" hidden="false" customHeight="true" outlineLevel="0" collapsed="false">
      <c r="A3" s="23" t="s">
        <v>605</v>
      </c>
      <c r="B3" s="7" t="s">
        <v>606</v>
      </c>
      <c r="C3" s="5"/>
      <c r="D3" s="5"/>
      <c r="E3" s="5"/>
      <c r="F3" s="5"/>
      <c r="G3" s="5"/>
      <c r="H3" s="5"/>
    </row>
    <row r="4" customFormat="false" ht="12.75" hidden="false" customHeight="true" outlineLevel="0" collapsed="false">
      <c r="A4" s="7" t="s">
        <v>607</v>
      </c>
      <c r="B4" s="7" t="s">
        <v>128</v>
      </c>
      <c r="C4" s="5"/>
      <c r="D4" s="5"/>
      <c r="E4" s="5"/>
      <c r="F4" s="5"/>
      <c r="G4" s="5"/>
      <c r="H4" s="5"/>
    </row>
    <row r="5" customFormat="false" ht="12.75" hidden="false" customHeight="true" outlineLevel="0" collapsed="false">
      <c r="A5" s="7" t="s">
        <v>608</v>
      </c>
      <c r="B5" s="7" t="s">
        <v>132</v>
      </c>
      <c r="C5" s="5"/>
      <c r="D5" s="5"/>
      <c r="E5" s="5"/>
      <c r="F5" s="5"/>
      <c r="G5" s="5"/>
      <c r="H5" s="5"/>
    </row>
    <row r="6" customFormat="false" ht="12.75" hidden="false" customHeight="true" outlineLevel="0" collapsed="false">
      <c r="A6" s="7" t="s">
        <v>609</v>
      </c>
      <c r="B6" s="7" t="s">
        <v>136</v>
      </c>
      <c r="C6" s="5"/>
      <c r="D6" s="5"/>
      <c r="E6" s="5"/>
      <c r="F6" s="5"/>
      <c r="G6" s="5"/>
      <c r="H6" s="5"/>
    </row>
    <row r="7" customFormat="false" ht="12.75" hidden="false" customHeight="true" outlineLevel="0" collapsed="false">
      <c r="A7" s="5" t="s">
        <v>610</v>
      </c>
      <c r="B7" s="5" t="s">
        <v>306</v>
      </c>
      <c r="C7" s="5"/>
      <c r="D7" s="5"/>
      <c r="E7" s="5"/>
      <c r="F7" s="5"/>
      <c r="G7" s="5"/>
      <c r="H7" s="5"/>
    </row>
    <row r="8" customFormat="false" ht="12.75" hidden="false" customHeight="true" outlineLevel="0" collapsed="false">
      <c r="A8" s="5" t="s">
        <v>611</v>
      </c>
      <c r="B8" s="5" t="s">
        <v>612</v>
      </c>
      <c r="C8" s="5"/>
      <c r="D8" s="5"/>
      <c r="E8" s="5"/>
      <c r="F8" s="5"/>
      <c r="G8" s="5"/>
      <c r="H8" s="5"/>
    </row>
    <row r="9" customFormat="false" ht="14.25" hidden="false" customHeight="true" outlineLevel="0" collapsed="false">
      <c r="A9" s="23" t="s">
        <v>613</v>
      </c>
      <c r="B9" s="5"/>
      <c r="C9" s="5"/>
      <c r="D9" s="5"/>
      <c r="E9" s="5"/>
      <c r="F9" s="5"/>
      <c r="G9" s="5"/>
      <c r="H9" s="5"/>
    </row>
    <row r="10" customFormat="false" ht="14.25" hidden="false" customHeight="true" outlineLevel="0" collapsed="false">
      <c r="A10" s="7" t="s">
        <v>614</v>
      </c>
      <c r="B10" s="7" t="n">
        <f aca="false">CANON!B10</f>
        <v>2</v>
      </c>
      <c r="C10" s="7" t="s">
        <v>615</v>
      </c>
      <c r="D10" s="5"/>
      <c r="E10" s="5"/>
      <c r="F10" s="5"/>
      <c r="G10" s="5"/>
      <c r="H10" s="5"/>
    </row>
    <row r="11" customFormat="false" ht="14.25" hidden="false" customHeight="true" outlineLevel="0" collapsed="false">
      <c r="A11" s="7" t="s">
        <v>616</v>
      </c>
      <c r="B11" s="7" t="str">
        <f aca="false">CANON!B11</f>
        <v>ORG</v>
      </c>
      <c r="C11" s="7" t="s">
        <v>144</v>
      </c>
      <c r="D11" s="5"/>
      <c r="E11" s="5"/>
      <c r="F11" s="5"/>
      <c r="G11" s="5"/>
      <c r="H11" s="5"/>
    </row>
    <row r="12" customFormat="false" ht="14.25" hidden="false" customHeight="true" outlineLevel="0" collapsed="false">
      <c r="A12" s="7" t="s">
        <v>617</v>
      </c>
      <c r="B12" s="7" t="n">
        <v>0.2</v>
      </c>
      <c r="C12" s="5"/>
      <c r="D12" s="5"/>
      <c r="E12" s="5"/>
      <c r="F12" s="5"/>
      <c r="G12" s="5"/>
      <c r="H12" s="5"/>
    </row>
    <row r="13" customFormat="false" ht="14.25" hidden="false" customHeight="true" outlineLevel="0" collapsed="false">
      <c r="A13" s="7" t="s">
        <v>618</v>
      </c>
      <c r="B13" s="7" t="str">
        <f aca="false">CANON!B12</f>
        <v>NO</v>
      </c>
      <c r="C13" s="7" t="s">
        <v>619</v>
      </c>
      <c r="D13" s="5"/>
      <c r="E13" s="5"/>
      <c r="F13" s="5"/>
      <c r="G13" s="5"/>
      <c r="H13" s="5"/>
    </row>
    <row r="14" customFormat="false" ht="14.25" hidden="false" customHeight="true" outlineLevel="0" collapsed="false">
      <c r="A14" s="23" t="s">
        <v>620</v>
      </c>
      <c r="B14" s="5"/>
      <c r="C14" s="5"/>
      <c r="D14" s="5"/>
      <c r="E14" s="5"/>
      <c r="F14" s="5"/>
      <c r="G14" s="5"/>
      <c r="H14" s="5"/>
    </row>
    <row r="15" customFormat="false" ht="14.25" hidden="false" customHeight="true" outlineLevel="0" collapsed="false">
      <c r="A15" s="7" t="s">
        <v>621</v>
      </c>
      <c r="B15" s="7" t="s">
        <v>298</v>
      </c>
      <c r="C15" s="7" t="s">
        <v>622</v>
      </c>
      <c r="D15" s="5"/>
      <c r="E15" s="5"/>
      <c r="F15" s="5"/>
      <c r="G15" s="5"/>
      <c r="H15" s="5"/>
    </row>
    <row r="16" customFormat="false" ht="14.25" hidden="false" customHeight="true" outlineLevel="0" collapsed="false">
      <c r="A16" s="36" t="s">
        <v>623</v>
      </c>
      <c r="B16" s="36" t="s">
        <v>624</v>
      </c>
      <c r="C16" s="36" t="s">
        <v>625</v>
      </c>
      <c r="D16" s="5"/>
      <c r="E16" s="5"/>
      <c r="F16" s="5"/>
      <c r="G16" s="5"/>
      <c r="H16" s="5"/>
    </row>
    <row r="17" customFormat="false" ht="14.25" hidden="false" customHeight="true" outlineLevel="0" collapsed="false">
      <c r="A17" s="36" t="s">
        <v>626</v>
      </c>
      <c r="B17" s="36" t="s">
        <v>627</v>
      </c>
      <c r="C17" s="36" t="s">
        <v>628</v>
      </c>
      <c r="D17" s="5"/>
      <c r="E17" s="5"/>
      <c r="F17" s="5"/>
      <c r="G17" s="5"/>
      <c r="H17" s="5"/>
    </row>
    <row r="18" customFormat="false" ht="13.5" hidden="false" customHeight="true" outlineLevel="0" collapsed="false">
      <c r="A18" s="36" t="s">
        <v>629</v>
      </c>
      <c r="B18" s="36" t="s">
        <v>630</v>
      </c>
      <c r="C18" s="36" t="s">
        <v>631</v>
      </c>
      <c r="D18" s="5"/>
      <c r="E18" s="5"/>
      <c r="F18" s="5"/>
      <c r="G18" s="5"/>
      <c r="H18" s="5"/>
    </row>
    <row r="19" customFormat="false" ht="14.25" hidden="false" customHeight="true" outlineLevel="0" collapsed="false">
      <c r="A19" s="37" t="s">
        <v>632</v>
      </c>
      <c r="B19" s="5"/>
      <c r="C19" s="5"/>
      <c r="D19" s="5"/>
      <c r="E19" s="5"/>
      <c r="F19" s="5"/>
      <c r="G19" s="5"/>
      <c r="H19" s="5"/>
    </row>
    <row r="20" customFormat="false" ht="14.25" hidden="false" customHeight="true" outlineLevel="0" collapsed="false">
      <c r="A20" s="36" t="s">
        <v>633</v>
      </c>
      <c r="B20" s="38" t="n">
        <f aca="false">CANON!B26</f>
        <v>0.02</v>
      </c>
      <c r="C20" s="36" t="s">
        <v>634</v>
      </c>
      <c r="D20" s="5"/>
      <c r="E20" s="5"/>
      <c r="F20" s="5"/>
      <c r="G20" s="5"/>
      <c r="H20" s="5"/>
    </row>
    <row r="21" customFormat="false" ht="14.25" hidden="false" customHeight="true" outlineLevel="0" collapsed="false">
      <c r="A21" s="36" t="s">
        <v>635</v>
      </c>
      <c r="B21" s="36" t="s">
        <v>15</v>
      </c>
      <c r="C21" s="36" t="s">
        <v>636</v>
      </c>
      <c r="D21" s="5"/>
      <c r="E21" s="5"/>
      <c r="F21" s="5"/>
      <c r="G21" s="5"/>
      <c r="H21" s="5"/>
    </row>
    <row r="22" customFormat="false" ht="14.25" hidden="false" customHeight="true" outlineLevel="0" collapsed="false">
      <c r="A22" s="36" t="s">
        <v>637</v>
      </c>
      <c r="B22" s="36" t="n">
        <v>2</v>
      </c>
      <c r="C22" s="36" t="s">
        <v>638</v>
      </c>
      <c r="D22" s="5"/>
      <c r="E22" s="5"/>
      <c r="F22" s="5"/>
      <c r="G22" s="5"/>
      <c r="H22" s="5"/>
    </row>
    <row r="23" customFormat="false" ht="12.75" hidden="false" customHeight="true" outlineLevel="0" collapsed="false">
      <c r="A23" s="22" t="s">
        <v>639</v>
      </c>
      <c r="B23" s="5"/>
      <c r="C23" s="5"/>
      <c r="D23" s="5"/>
      <c r="E23" s="5"/>
      <c r="F23" s="5"/>
      <c r="G23" s="5"/>
      <c r="H23" s="5"/>
    </row>
    <row r="24" customFormat="false" ht="12.75" hidden="false" customHeight="true" outlineLevel="0" collapsed="false">
      <c r="A24" s="22" t="s">
        <v>640</v>
      </c>
      <c r="B24" s="22" t="s">
        <v>604</v>
      </c>
      <c r="C24" s="22" t="s">
        <v>641</v>
      </c>
      <c r="D24" s="5"/>
      <c r="E24" s="5"/>
      <c r="F24" s="5"/>
      <c r="G24" s="5"/>
      <c r="H24" s="5"/>
    </row>
    <row r="25" customFormat="false" ht="12.75" hidden="false" customHeight="true" outlineLevel="0" collapsed="false">
      <c r="A25" s="22" t="s">
        <v>642</v>
      </c>
      <c r="B25" s="22" t="s">
        <v>8</v>
      </c>
      <c r="C25" s="22" t="s">
        <v>643</v>
      </c>
      <c r="D25" s="5"/>
      <c r="E25" s="5"/>
      <c r="F25" s="5"/>
      <c r="G25" s="5"/>
      <c r="H25" s="5"/>
    </row>
    <row r="26" customFormat="false" ht="12.75" hidden="false" customHeight="true" outlineLevel="0" collapsed="false">
      <c r="A26" s="22" t="s">
        <v>644</v>
      </c>
      <c r="B26" s="22" t="s">
        <v>4</v>
      </c>
      <c r="C26" s="22" t="s">
        <v>645</v>
      </c>
      <c r="D26" s="5"/>
      <c r="E26" s="5"/>
      <c r="F26" s="5"/>
      <c r="G26" s="5"/>
      <c r="H26" s="5"/>
    </row>
    <row r="27" customFormat="false" ht="12.75" hidden="false" customHeight="true" outlineLevel="0" collapsed="false">
      <c r="A27" s="22" t="s">
        <v>646</v>
      </c>
      <c r="B27" s="22" t="s">
        <v>647</v>
      </c>
      <c r="C27" s="22" t="s">
        <v>648</v>
      </c>
      <c r="D27" s="5"/>
      <c r="E27" s="5"/>
      <c r="F27" s="5"/>
      <c r="G27" s="5"/>
      <c r="H27" s="5"/>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8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2" min="1" style="1" width="36"/>
    <col collapsed="false" customWidth="true" hidden="false" outlineLevel="0" max="3" min="3" style="1" width="10"/>
    <col collapsed="false" customWidth="true" hidden="false" outlineLevel="0" max="4" min="4" style="1" width="36"/>
    <col collapsed="false" customWidth="true" hidden="false" outlineLevel="0" max="5" min="5" style="1" width="10"/>
    <col collapsed="false" customWidth="true" hidden="false" outlineLevel="0" max="8" min="6" style="2" width="10"/>
  </cols>
  <sheetData>
    <row r="1" customFormat="false" ht="14.25" hidden="false" customHeight="true" outlineLevel="0" collapsed="false">
      <c r="A1" s="39" t="s">
        <v>649</v>
      </c>
      <c r="B1" s="39"/>
      <c r="C1" s="39"/>
      <c r="D1" s="39"/>
      <c r="E1" s="39"/>
      <c r="F1" s="39"/>
      <c r="G1" s="39"/>
      <c r="H1" s="39"/>
    </row>
    <row r="2" customFormat="false" ht="13.5" hidden="false" customHeight="true" outlineLevel="0" collapsed="false">
      <c r="A2" s="5"/>
      <c r="B2" s="5"/>
      <c r="C2" s="5"/>
      <c r="D2" s="5"/>
      <c r="E2" s="5"/>
      <c r="F2" s="5"/>
      <c r="G2" s="5"/>
      <c r="H2" s="5"/>
    </row>
    <row r="3" customFormat="false" ht="14.25" hidden="false" customHeight="true" outlineLevel="0" collapsed="false">
      <c r="A3" s="37" t="s">
        <v>650</v>
      </c>
      <c r="B3" s="5"/>
      <c r="C3" s="5"/>
      <c r="D3" s="5"/>
      <c r="E3" s="5"/>
      <c r="F3" s="5"/>
      <c r="G3" s="5"/>
      <c r="H3" s="5"/>
    </row>
    <row r="4" customFormat="false" ht="14.25" hidden="false" customHeight="true" outlineLevel="0" collapsed="false">
      <c r="A4" s="37" t="s">
        <v>171</v>
      </c>
      <c r="B4" s="37" t="s">
        <v>172</v>
      </c>
      <c r="C4" s="37" t="s">
        <v>173</v>
      </c>
      <c r="D4" s="37" t="s">
        <v>651</v>
      </c>
      <c r="E4" s="5"/>
      <c r="F4" s="5"/>
      <c r="G4" s="5"/>
      <c r="H4" s="5"/>
    </row>
    <row r="5" customFormat="false" ht="14.25" hidden="false" customHeight="true" outlineLevel="0" collapsed="false">
      <c r="A5" s="38" t="s">
        <v>174</v>
      </c>
      <c r="B5" s="38" t="n">
        <v>1</v>
      </c>
      <c r="C5" s="38" t="n">
        <v>-0.9</v>
      </c>
      <c r="D5" s="38" t="s">
        <v>652</v>
      </c>
      <c r="E5" s="5"/>
      <c r="F5" s="5"/>
      <c r="G5" s="5"/>
      <c r="H5" s="5"/>
    </row>
    <row r="6" customFormat="false" ht="14.25" hidden="false" customHeight="true" outlineLevel="0" collapsed="false">
      <c r="A6" s="38" t="s">
        <v>175</v>
      </c>
      <c r="B6" s="38" t="n">
        <v>2</v>
      </c>
      <c r="C6" s="38" t="n">
        <v>-0.7</v>
      </c>
      <c r="D6" s="38" t="s">
        <v>653</v>
      </c>
      <c r="E6" s="5"/>
      <c r="F6" s="5"/>
      <c r="G6" s="5"/>
      <c r="H6" s="5"/>
    </row>
    <row r="7" customFormat="false" ht="14.25" hidden="false" customHeight="true" outlineLevel="0" collapsed="false">
      <c r="A7" s="38" t="s">
        <v>176</v>
      </c>
      <c r="B7" s="38" t="n">
        <v>3</v>
      </c>
      <c r="C7" s="38" t="n">
        <v>-0.65</v>
      </c>
      <c r="D7" s="38" t="s">
        <v>654</v>
      </c>
      <c r="E7" s="5"/>
      <c r="F7" s="5"/>
      <c r="G7" s="5"/>
      <c r="H7" s="5"/>
    </row>
    <row r="8" customFormat="false" ht="14.25" hidden="false" customHeight="true" outlineLevel="0" collapsed="false">
      <c r="A8" s="38" t="s">
        <v>177</v>
      </c>
      <c r="B8" s="38" t="n">
        <v>4</v>
      </c>
      <c r="C8" s="38" t="n">
        <v>-0.5</v>
      </c>
      <c r="D8" s="38" t="s">
        <v>655</v>
      </c>
      <c r="E8" s="5"/>
      <c r="F8" s="5"/>
      <c r="G8" s="5"/>
      <c r="H8" s="5"/>
    </row>
    <row r="9" customFormat="false" ht="14.25" hidden="false" customHeight="true" outlineLevel="0" collapsed="false">
      <c r="A9" s="38" t="s">
        <v>178</v>
      </c>
      <c r="B9" s="38" t="n">
        <v>5</v>
      </c>
      <c r="C9" s="38" t="n">
        <v>-0.55</v>
      </c>
      <c r="D9" s="38" t="s">
        <v>656</v>
      </c>
      <c r="E9" s="5"/>
      <c r="F9" s="5"/>
      <c r="G9" s="5"/>
      <c r="H9" s="5"/>
    </row>
    <row r="10" customFormat="false" ht="14.25" hidden="false" customHeight="true" outlineLevel="0" collapsed="false">
      <c r="A10" s="38" t="s">
        <v>179</v>
      </c>
      <c r="B10" s="38" t="n">
        <v>6</v>
      </c>
      <c r="C10" s="38" t="n">
        <v>-0.45</v>
      </c>
      <c r="D10" s="38" t="s">
        <v>657</v>
      </c>
      <c r="E10" s="5"/>
      <c r="F10" s="5"/>
      <c r="G10" s="5"/>
      <c r="H10" s="5"/>
    </row>
    <row r="11" customFormat="false" ht="14.25" hidden="false" customHeight="true" outlineLevel="0" collapsed="false">
      <c r="A11" s="38" t="s">
        <v>180</v>
      </c>
      <c r="B11" s="38" t="n">
        <v>7</v>
      </c>
      <c r="C11" s="38" t="n">
        <v>-0.4</v>
      </c>
      <c r="D11" s="38" t="s">
        <v>658</v>
      </c>
      <c r="E11" s="5"/>
      <c r="F11" s="5"/>
      <c r="G11" s="5"/>
      <c r="H11" s="5"/>
    </row>
    <row r="12" customFormat="false" ht="14.25" hidden="false" customHeight="true" outlineLevel="0" collapsed="false">
      <c r="A12" s="38" t="s">
        <v>181</v>
      </c>
      <c r="B12" s="38" t="n">
        <v>8</v>
      </c>
      <c r="C12" s="38" t="n">
        <v>-0.65</v>
      </c>
      <c r="D12" s="38" t="s">
        <v>659</v>
      </c>
      <c r="E12" s="5"/>
      <c r="F12" s="5"/>
      <c r="G12" s="5"/>
      <c r="H12" s="5"/>
    </row>
    <row r="13" customFormat="false" ht="13.5" hidden="false" customHeight="true" outlineLevel="0" collapsed="false">
      <c r="A13" s="5"/>
      <c r="B13" s="5"/>
      <c r="C13" s="5"/>
      <c r="D13" s="5"/>
      <c r="E13" s="5"/>
      <c r="F13" s="5"/>
      <c r="G13" s="5"/>
      <c r="H13" s="5"/>
    </row>
    <row r="14" customFormat="false" ht="13.5" hidden="false" customHeight="true" outlineLevel="0" collapsed="false">
      <c r="A14" s="5"/>
      <c r="B14" s="5"/>
      <c r="C14" s="5"/>
      <c r="D14" s="5"/>
      <c r="E14" s="5"/>
      <c r="F14" s="5"/>
      <c r="G14" s="5"/>
      <c r="H14" s="5"/>
    </row>
    <row r="15" customFormat="false" ht="14.25" hidden="false" customHeight="true" outlineLevel="0" collapsed="false">
      <c r="A15" s="37" t="s">
        <v>660</v>
      </c>
      <c r="B15" s="5"/>
      <c r="C15" s="5"/>
      <c r="D15" s="5"/>
      <c r="E15" s="5"/>
      <c r="F15" s="5"/>
      <c r="G15" s="5"/>
      <c r="H15" s="5"/>
    </row>
    <row r="16" customFormat="false" ht="14.25" hidden="false" customHeight="true" outlineLevel="0" collapsed="false">
      <c r="A16" s="38" t="s">
        <v>661</v>
      </c>
      <c r="B16" s="38" t="n">
        <v>0.3</v>
      </c>
      <c r="C16" s="5"/>
      <c r="D16" s="5"/>
      <c r="E16" s="5"/>
      <c r="F16" s="5"/>
      <c r="G16" s="5"/>
      <c r="H16" s="5"/>
    </row>
    <row r="17" customFormat="false" ht="14.25" hidden="false" customHeight="true" outlineLevel="0" collapsed="false">
      <c r="A17" s="38" t="s">
        <v>143</v>
      </c>
      <c r="B17" s="38" t="n">
        <v>0.2</v>
      </c>
      <c r="C17" s="5"/>
      <c r="D17" s="5"/>
      <c r="E17" s="5"/>
      <c r="F17" s="5"/>
      <c r="G17" s="5"/>
      <c r="H17" s="5"/>
    </row>
    <row r="18" customFormat="false" ht="14.25" hidden="false" customHeight="true" outlineLevel="0" collapsed="false">
      <c r="A18" s="38" t="s">
        <v>662</v>
      </c>
      <c r="B18" s="38" t="n">
        <v>0.15</v>
      </c>
      <c r="C18" s="5"/>
      <c r="D18" s="5"/>
      <c r="E18" s="5"/>
      <c r="F18" s="5"/>
      <c r="G18" s="5"/>
      <c r="H18" s="5"/>
    </row>
    <row r="19" customFormat="false" ht="14.25" hidden="false" customHeight="true" outlineLevel="0" collapsed="false">
      <c r="A19" s="38" t="s">
        <v>663</v>
      </c>
      <c r="B19" s="38" t="n">
        <v>0.1</v>
      </c>
      <c r="C19" s="5"/>
      <c r="D19" s="5"/>
      <c r="E19" s="5"/>
      <c r="F19" s="5"/>
      <c r="G19" s="5"/>
      <c r="H19" s="5"/>
    </row>
    <row r="20" customFormat="false" ht="14.25" hidden="false" customHeight="true" outlineLevel="0" collapsed="false">
      <c r="A20" s="38" t="s">
        <v>664</v>
      </c>
      <c r="B20" s="38" t="n">
        <v>0.05</v>
      </c>
      <c r="C20" s="5"/>
      <c r="D20" s="5"/>
      <c r="E20" s="5"/>
      <c r="F20" s="5"/>
      <c r="G20" s="5"/>
      <c r="H20" s="5"/>
    </row>
    <row r="21" customFormat="false" ht="13.5" hidden="false" customHeight="true" outlineLevel="0" collapsed="false">
      <c r="A21" s="5"/>
      <c r="B21" s="5"/>
      <c r="C21" s="5"/>
      <c r="D21" s="5"/>
      <c r="E21" s="5"/>
      <c r="F21" s="5"/>
      <c r="G21" s="5"/>
      <c r="H21" s="5"/>
    </row>
    <row r="22" customFormat="false" ht="13.5" hidden="false" customHeight="true" outlineLevel="0" collapsed="false">
      <c r="A22" s="5"/>
      <c r="B22" s="5"/>
      <c r="C22" s="5"/>
      <c r="D22" s="5"/>
      <c r="E22" s="5"/>
      <c r="F22" s="5"/>
      <c r="G22" s="5"/>
      <c r="H22" s="5"/>
    </row>
    <row r="23" customFormat="false" ht="14.25" hidden="false" customHeight="true" outlineLevel="0" collapsed="false">
      <c r="A23" s="37" t="s">
        <v>665</v>
      </c>
      <c r="B23" s="5"/>
      <c r="C23" s="5"/>
      <c r="D23" s="5"/>
      <c r="E23" s="5"/>
      <c r="F23" s="5"/>
      <c r="G23" s="5"/>
      <c r="H23" s="5"/>
    </row>
    <row r="24" customFormat="false" ht="14.25" hidden="false" customHeight="true" outlineLevel="0" collapsed="false">
      <c r="A24" s="38" t="s">
        <v>666</v>
      </c>
      <c r="B24" s="38" t="n">
        <f aca="false">CANON!B20</f>
        <v>2</v>
      </c>
      <c r="C24" s="5"/>
      <c r="D24" s="5"/>
      <c r="E24" s="5"/>
      <c r="F24" s="5"/>
      <c r="G24" s="5"/>
      <c r="H24" s="5"/>
    </row>
    <row r="25" customFormat="false" ht="14.25" hidden="false" customHeight="true" outlineLevel="0" collapsed="false">
      <c r="A25" s="38" t="s">
        <v>667</v>
      </c>
      <c r="B25" s="38" t="n">
        <f aca="false">CANON!B21</f>
        <v>1</v>
      </c>
      <c r="C25" s="5"/>
      <c r="D25" s="5"/>
      <c r="E25" s="5"/>
      <c r="F25" s="5"/>
      <c r="G25" s="5"/>
      <c r="H25" s="5"/>
    </row>
    <row r="26" customFormat="false" ht="14.25" hidden="false" customHeight="true" outlineLevel="0" collapsed="false">
      <c r="A26" s="38" t="s">
        <v>668</v>
      </c>
      <c r="B26" s="38" t="n">
        <f aca="false">CANON!B22</f>
        <v>2</v>
      </c>
      <c r="C26" s="5"/>
      <c r="D26" s="5"/>
      <c r="E26" s="5"/>
      <c r="F26" s="5"/>
      <c r="G26" s="5"/>
      <c r="H26" s="5"/>
    </row>
    <row r="27" customFormat="false" ht="14.25" hidden="false" customHeight="true" outlineLevel="0" collapsed="false">
      <c r="A27" s="38" t="s">
        <v>669</v>
      </c>
      <c r="B27" s="38" t="n">
        <f aca="false">CANON!B24</f>
        <v>-0.1</v>
      </c>
      <c r="C27" s="5"/>
      <c r="D27" s="5"/>
      <c r="E27" s="5"/>
      <c r="F27" s="5"/>
      <c r="G27" s="5"/>
      <c r="H27" s="5"/>
    </row>
    <row r="28" customFormat="false" ht="14.25" hidden="false" customHeight="true" outlineLevel="0" collapsed="false">
      <c r="A28" s="38" t="s">
        <v>670</v>
      </c>
      <c r="B28" s="38" t="n">
        <f aca="false">CANON!B23</f>
        <v>0.05</v>
      </c>
      <c r="C28" s="5"/>
      <c r="D28" s="5"/>
      <c r="E28" s="5"/>
      <c r="F28" s="5"/>
      <c r="G28" s="5"/>
      <c r="H28" s="5"/>
    </row>
    <row r="29" customFormat="false" ht="14.25" hidden="false" customHeight="true" outlineLevel="0" collapsed="false">
      <c r="A29" s="38" t="s">
        <v>256</v>
      </c>
      <c r="B29" s="38" t="n">
        <f aca="false">CANON!B25</f>
        <v>25</v>
      </c>
      <c r="C29" s="5"/>
      <c r="D29" s="5"/>
      <c r="E29" s="5"/>
      <c r="F29" s="5"/>
      <c r="G29" s="5"/>
      <c r="H29" s="5"/>
    </row>
    <row r="30" customFormat="false" ht="21.75" hidden="false" customHeight="true" outlineLevel="0" collapsed="false">
      <c r="A30" s="38" t="s">
        <v>671</v>
      </c>
      <c r="B30" s="38" t="n">
        <v>0.9</v>
      </c>
      <c r="C30" s="5"/>
      <c r="D30" s="5"/>
      <c r="E30" s="5"/>
      <c r="F30" s="5"/>
      <c r="G30" s="5"/>
      <c r="H30" s="5"/>
    </row>
    <row r="31" customFormat="false" ht="21.75" hidden="false" customHeight="true" outlineLevel="0" collapsed="false">
      <c r="A31" s="38" t="s">
        <v>672</v>
      </c>
      <c r="B31" s="38" t="n">
        <v>0.95</v>
      </c>
      <c r="C31" s="5"/>
      <c r="D31" s="5"/>
      <c r="E31" s="5"/>
      <c r="F31" s="5"/>
      <c r="G31" s="5"/>
      <c r="H31" s="5"/>
    </row>
    <row r="32" customFormat="false" ht="21.75" hidden="false" customHeight="true" outlineLevel="0" collapsed="false">
      <c r="A32" s="38" t="s">
        <v>673</v>
      </c>
      <c r="B32" s="38" t="n">
        <v>0.95</v>
      </c>
      <c r="C32" s="5"/>
      <c r="D32" s="5"/>
      <c r="E32" s="5"/>
      <c r="F32" s="5"/>
      <c r="G32" s="5"/>
      <c r="H32" s="5"/>
    </row>
    <row r="33" customFormat="false" ht="21.75" hidden="false" customHeight="true" outlineLevel="0" collapsed="false">
      <c r="A33" s="38" t="s">
        <v>674</v>
      </c>
      <c r="B33" s="38" t="n">
        <v>0.99</v>
      </c>
      <c r="C33" s="5"/>
      <c r="D33" s="22" t="s">
        <v>675</v>
      </c>
      <c r="E33" s="5"/>
      <c r="F33" s="5"/>
      <c r="G33" s="5"/>
      <c r="H33" s="5"/>
    </row>
    <row r="34" customFormat="false" ht="21.75" hidden="false" customHeight="true" outlineLevel="0" collapsed="false">
      <c r="A34" s="38" t="s">
        <v>676</v>
      </c>
      <c r="B34" s="38" t="n">
        <v>0.999</v>
      </c>
      <c r="C34" s="5"/>
      <c r="D34" s="22" t="s">
        <v>677</v>
      </c>
      <c r="E34" s="5"/>
      <c r="F34" s="5"/>
      <c r="G34" s="5"/>
      <c r="H34" s="5"/>
    </row>
    <row r="35" customFormat="false" ht="21.75" hidden="false" customHeight="true" outlineLevel="0" collapsed="false">
      <c r="A35" s="36"/>
      <c r="B35" s="36"/>
      <c r="C35" s="5"/>
      <c r="D35" s="5"/>
      <c r="E35" s="5"/>
      <c r="F35" s="5"/>
      <c r="G35" s="5"/>
      <c r="H35" s="5"/>
    </row>
    <row r="36" customFormat="false" ht="13.5" hidden="false" customHeight="true" outlineLevel="0" collapsed="false">
      <c r="A36" s="38" t="s">
        <v>678</v>
      </c>
      <c r="B36" s="38" t="n">
        <v>0.02</v>
      </c>
      <c r="C36" s="5"/>
      <c r="D36" s="5"/>
      <c r="E36" s="5"/>
      <c r="F36" s="5"/>
      <c r="G36" s="5"/>
      <c r="H36" s="5"/>
    </row>
    <row r="37" customFormat="false" ht="14.25" hidden="false" customHeight="true" outlineLevel="0" collapsed="false">
      <c r="A37" s="38" t="s">
        <v>679</v>
      </c>
      <c r="B37" s="38" t="n">
        <v>0.1</v>
      </c>
      <c r="C37" s="5"/>
      <c r="D37" s="5"/>
      <c r="E37" s="5"/>
      <c r="F37" s="5"/>
      <c r="G37" s="5"/>
      <c r="H37" s="5"/>
    </row>
    <row r="38" customFormat="false" ht="14.25" hidden="false" customHeight="true" outlineLevel="0" collapsed="false">
      <c r="A38" s="38" t="s">
        <v>680</v>
      </c>
      <c r="B38" s="38" t="n">
        <v>0.75</v>
      </c>
      <c r="C38" s="5"/>
      <c r="D38" s="5"/>
      <c r="E38" s="5"/>
      <c r="F38" s="5"/>
      <c r="G38" s="5"/>
      <c r="H38" s="5"/>
    </row>
    <row r="39" customFormat="false" ht="14.25" hidden="false" customHeight="true" outlineLevel="0" collapsed="false">
      <c r="A39" s="38" t="s">
        <v>681</v>
      </c>
      <c r="B39" s="38" t="n">
        <v>1.25</v>
      </c>
      <c r="C39" s="5"/>
      <c r="D39" s="5"/>
      <c r="E39" s="5"/>
      <c r="F39" s="5"/>
      <c r="G39" s="5"/>
      <c r="H39" s="5"/>
    </row>
    <row r="40" customFormat="false" ht="14.25" hidden="false" customHeight="true" outlineLevel="0" collapsed="false">
      <c r="A40" s="38" t="s">
        <v>168</v>
      </c>
      <c r="B40" s="38" t="n">
        <f aca="false">CANON!B27</f>
        <v>0.083</v>
      </c>
      <c r="C40" s="5"/>
      <c r="D40" s="5"/>
      <c r="E40" s="5"/>
      <c r="F40" s="5"/>
      <c r="G40" s="5"/>
      <c r="H40" s="5"/>
    </row>
    <row r="41" customFormat="false" ht="14.25" hidden="false" customHeight="true" outlineLevel="0" collapsed="false">
      <c r="A41" s="36" t="s">
        <v>682</v>
      </c>
      <c r="B41" s="40" t="n">
        <f aca="false">PLSS_Local_Scope!E15</f>
        <v>0.116666666666667</v>
      </c>
      <c r="C41" s="5"/>
      <c r="D41" s="5"/>
      <c r="E41" s="5"/>
      <c r="F41" s="5"/>
      <c r="G41" s="5"/>
      <c r="H41" s="5"/>
    </row>
    <row r="42" customFormat="false" ht="14.25" hidden="false" customHeight="true" outlineLevel="0" collapsed="false">
      <c r="A42" s="36" t="s">
        <v>683</v>
      </c>
      <c r="B42" s="40" t="n">
        <f aca="false">PLSS_Local_Scope!E16</f>
        <v>0.0913333333333333</v>
      </c>
      <c r="C42" s="5"/>
      <c r="D42" s="5"/>
      <c r="E42" s="5"/>
      <c r="F42" s="5"/>
      <c r="G42" s="5"/>
      <c r="H42" s="5"/>
    </row>
    <row r="43" customFormat="false" ht="14.25" hidden="false" customHeight="true" outlineLevel="0" collapsed="false">
      <c r="A43" s="36" t="s">
        <v>684</v>
      </c>
      <c r="B43" s="40" t="n">
        <f aca="false">PLSS_Local_Scope!E17</f>
        <v>0.1034</v>
      </c>
      <c r="C43" s="5"/>
      <c r="D43" s="5"/>
      <c r="E43" s="5"/>
      <c r="F43" s="5"/>
      <c r="G43" s="5"/>
      <c r="H43" s="5"/>
    </row>
    <row r="44" customFormat="false" ht="14.25" hidden="false" customHeight="true" outlineLevel="0" collapsed="false">
      <c r="A44" s="36" t="s">
        <v>685</v>
      </c>
      <c r="B44" s="40" t="n">
        <f aca="false">PLSS_Local_Scope!E18</f>
        <v>0.102266666666667</v>
      </c>
      <c r="C44" s="5"/>
      <c r="D44" s="5"/>
      <c r="E44" s="5"/>
      <c r="F44" s="5"/>
      <c r="G44" s="5"/>
      <c r="H44" s="5"/>
    </row>
    <row r="45" customFormat="false" ht="13.5" hidden="false" customHeight="true" outlineLevel="0" collapsed="false">
      <c r="A45" s="5"/>
      <c r="B45" s="5"/>
      <c r="C45" s="5"/>
      <c r="D45" s="5"/>
      <c r="E45" s="5"/>
      <c r="F45" s="5"/>
      <c r="G45" s="5"/>
      <c r="H45" s="5"/>
    </row>
    <row r="46" customFormat="false" ht="13.5" hidden="false" customHeight="true" outlineLevel="0" collapsed="false">
      <c r="A46" s="5"/>
      <c r="B46" s="5"/>
      <c r="C46" s="5"/>
      <c r="D46" s="5"/>
      <c r="E46" s="5"/>
      <c r="F46" s="5"/>
      <c r="G46" s="5"/>
      <c r="H46" s="5"/>
    </row>
    <row r="47" customFormat="false" ht="14.25" hidden="false" customHeight="true" outlineLevel="0" collapsed="false">
      <c r="A47" s="37" t="s">
        <v>686</v>
      </c>
      <c r="B47" s="5"/>
      <c r="C47" s="5"/>
      <c r="D47" s="5"/>
      <c r="E47" s="5"/>
      <c r="F47" s="5"/>
      <c r="G47" s="5"/>
      <c r="H47" s="5"/>
    </row>
    <row r="48" customFormat="false" ht="14.25" hidden="false" customHeight="true" outlineLevel="0" collapsed="false">
      <c r="A48" s="36" t="s">
        <v>687</v>
      </c>
      <c r="B48" s="40" t="n">
        <v>0.142857142857143</v>
      </c>
      <c r="C48" s="5"/>
      <c r="D48" s="5"/>
      <c r="E48" s="5"/>
      <c r="F48" s="5"/>
      <c r="G48" s="5"/>
      <c r="H48" s="5"/>
    </row>
    <row r="49" customFormat="false" ht="14.25" hidden="false" customHeight="true" outlineLevel="0" collapsed="false">
      <c r="A49" s="36" t="s">
        <v>688</v>
      </c>
      <c r="B49" s="40" t="n">
        <v>0.142857142857143</v>
      </c>
      <c r="C49" s="5"/>
      <c r="D49" s="5"/>
      <c r="E49" s="5"/>
      <c r="F49" s="5"/>
      <c r="G49" s="5"/>
      <c r="H49" s="5"/>
    </row>
    <row r="50" customFormat="false" ht="14.25" hidden="false" customHeight="true" outlineLevel="0" collapsed="false">
      <c r="A50" s="36" t="s">
        <v>689</v>
      </c>
      <c r="B50" s="40" t="n">
        <v>0.142857142857143</v>
      </c>
      <c r="C50" s="5"/>
      <c r="D50" s="5"/>
      <c r="E50" s="5"/>
      <c r="F50" s="5"/>
      <c r="G50" s="5"/>
      <c r="H50" s="5"/>
    </row>
    <row r="51" customFormat="false" ht="14.25" hidden="false" customHeight="true" outlineLevel="0" collapsed="false">
      <c r="A51" s="36" t="s">
        <v>690</v>
      </c>
      <c r="B51" s="40" t="n">
        <v>0.142857142857143</v>
      </c>
      <c r="C51" s="5"/>
      <c r="D51" s="5"/>
      <c r="E51" s="5"/>
      <c r="F51" s="5"/>
      <c r="G51" s="5"/>
      <c r="H51" s="5"/>
    </row>
    <row r="52" customFormat="false" ht="14.25" hidden="false" customHeight="true" outlineLevel="0" collapsed="false">
      <c r="A52" s="36" t="s">
        <v>691</v>
      </c>
      <c r="B52" s="40" t="n">
        <v>0.142857142857143</v>
      </c>
      <c r="C52" s="5"/>
      <c r="D52" s="5"/>
      <c r="E52" s="5"/>
      <c r="F52" s="5"/>
      <c r="G52" s="5"/>
      <c r="H52" s="5"/>
    </row>
    <row r="53" customFormat="false" ht="14.25" hidden="false" customHeight="true" outlineLevel="0" collapsed="false">
      <c r="A53" s="36" t="s">
        <v>692</v>
      </c>
      <c r="B53" s="40" t="n">
        <v>0.142857142857143</v>
      </c>
      <c r="C53" s="5"/>
      <c r="D53" s="5"/>
      <c r="E53" s="5"/>
      <c r="F53" s="5"/>
      <c r="G53" s="5"/>
      <c r="H53" s="5"/>
    </row>
    <row r="54" customFormat="false" ht="14.25" hidden="false" customHeight="true" outlineLevel="0" collapsed="false">
      <c r="A54" s="36" t="s">
        <v>693</v>
      </c>
      <c r="B54" s="40" t="n">
        <v>0.142857142857143</v>
      </c>
      <c r="C54" s="5"/>
      <c r="D54" s="5"/>
      <c r="E54" s="5"/>
      <c r="F54" s="5"/>
      <c r="G54" s="5"/>
      <c r="H54" s="5"/>
    </row>
    <row r="55" customFormat="false" ht="21.75" hidden="false" customHeight="true" outlineLevel="0" collapsed="false">
      <c r="A55" s="36" t="s">
        <v>694</v>
      </c>
      <c r="B55" s="5"/>
      <c r="C55" s="5"/>
      <c r="D55" s="5"/>
      <c r="E55" s="5"/>
      <c r="F55" s="5"/>
      <c r="G55" s="5"/>
      <c r="H55" s="5"/>
    </row>
    <row r="56" customFormat="false" ht="21.75" hidden="false" customHeight="true" outlineLevel="0" collapsed="false">
      <c r="A56" s="36" t="s">
        <v>695</v>
      </c>
      <c r="B56" s="5"/>
      <c r="C56" s="5"/>
      <c r="D56" s="5"/>
      <c r="E56" s="5"/>
      <c r="F56" s="5"/>
      <c r="G56" s="5"/>
      <c r="H56" s="5"/>
    </row>
    <row r="57" customFormat="false" ht="21.75" hidden="false" customHeight="true" outlineLevel="0" collapsed="false">
      <c r="A57" s="36" t="s">
        <v>696</v>
      </c>
      <c r="B57" s="36" t="s">
        <v>697</v>
      </c>
      <c r="C57" s="5"/>
      <c r="D57" s="5"/>
      <c r="E57" s="5"/>
      <c r="F57" s="5"/>
      <c r="G57" s="5"/>
      <c r="H57" s="5"/>
    </row>
    <row r="58" customFormat="false" ht="19.5" hidden="false" customHeight="true" outlineLevel="0" collapsed="false">
      <c r="A58" s="41" t="s">
        <v>698</v>
      </c>
      <c r="B58" s="41" t="n">
        <v>0.2</v>
      </c>
      <c r="C58" s="5"/>
      <c r="D58" s="5"/>
      <c r="E58" s="5"/>
      <c r="F58" s="5"/>
      <c r="G58" s="5"/>
      <c r="H58" s="5"/>
    </row>
    <row r="59" customFormat="false" ht="19.5" hidden="false" customHeight="true" outlineLevel="0" collapsed="false">
      <c r="A59" s="41" t="s">
        <v>699</v>
      </c>
      <c r="B59" s="41" t="n">
        <v>0.06</v>
      </c>
      <c r="C59" s="5"/>
      <c r="D59" s="5"/>
      <c r="E59" s="5"/>
      <c r="F59" s="5"/>
      <c r="G59" s="5"/>
      <c r="H59" s="5"/>
    </row>
    <row r="60" customFormat="false" ht="19.5" hidden="false" customHeight="true" outlineLevel="0" collapsed="false">
      <c r="A60" s="41" t="s">
        <v>700</v>
      </c>
      <c r="B60" s="41" t="n">
        <v>0.06</v>
      </c>
      <c r="C60" s="5"/>
      <c r="D60" s="5"/>
      <c r="E60" s="5"/>
      <c r="F60" s="5"/>
      <c r="G60" s="5"/>
      <c r="H60" s="5"/>
    </row>
    <row r="61" customFormat="false" ht="19.5" hidden="false" customHeight="true" outlineLevel="0" collapsed="false">
      <c r="A61" s="41" t="s">
        <v>682</v>
      </c>
      <c r="B61" s="41" t="n">
        <v>0.06</v>
      </c>
      <c r="C61" s="5"/>
      <c r="D61" s="5"/>
      <c r="E61" s="5"/>
      <c r="F61" s="5"/>
      <c r="G61" s="5"/>
      <c r="H61" s="5"/>
    </row>
    <row r="62" customFormat="false" ht="19.5" hidden="false" customHeight="true" outlineLevel="0" collapsed="false">
      <c r="A62" s="41" t="s">
        <v>683</v>
      </c>
      <c r="B62" s="41" t="n">
        <v>0.08</v>
      </c>
      <c r="C62" s="5"/>
      <c r="D62" s="5"/>
      <c r="E62" s="5"/>
      <c r="F62" s="5"/>
      <c r="G62" s="5"/>
      <c r="H62" s="5"/>
    </row>
    <row r="63" customFormat="false" ht="19.5" hidden="false" customHeight="true" outlineLevel="0" collapsed="false">
      <c r="A63" s="41" t="s">
        <v>684</v>
      </c>
      <c r="B63" s="41" t="n">
        <v>0.1</v>
      </c>
      <c r="C63" s="5"/>
      <c r="D63" s="5"/>
      <c r="E63" s="5"/>
      <c r="F63" s="5"/>
      <c r="G63" s="5"/>
      <c r="H63" s="5"/>
    </row>
    <row r="64" customFormat="false" ht="19.5" hidden="false" customHeight="true" outlineLevel="0" collapsed="false">
      <c r="A64" s="41" t="s">
        <v>685</v>
      </c>
      <c r="B64" s="41" t="n">
        <v>0.1</v>
      </c>
      <c r="C64" s="5"/>
      <c r="D64" s="5"/>
      <c r="E64" s="5"/>
      <c r="F64" s="5"/>
      <c r="G64" s="5"/>
      <c r="H64" s="5"/>
    </row>
    <row r="65" customFormat="false" ht="19.5" hidden="false" customHeight="true" outlineLevel="0" collapsed="false">
      <c r="A65" s="5"/>
      <c r="B65" s="5"/>
      <c r="C65" s="5"/>
      <c r="D65" s="5"/>
      <c r="E65" s="5"/>
      <c r="F65" s="5"/>
      <c r="G65" s="5"/>
      <c r="H65" s="5"/>
    </row>
    <row r="66" customFormat="false" ht="19.5" hidden="false" customHeight="true" outlineLevel="0" collapsed="false">
      <c r="A66" s="36" t="s">
        <v>701</v>
      </c>
      <c r="B66" s="5"/>
      <c r="C66" s="5"/>
      <c r="D66" s="5"/>
      <c r="E66" s="5"/>
      <c r="F66" s="5"/>
      <c r="G66" s="5"/>
      <c r="H66" s="5"/>
    </row>
    <row r="67" customFormat="false" ht="19.5" hidden="false" customHeight="true" outlineLevel="0" collapsed="false">
      <c r="A67" s="36" t="s">
        <v>702</v>
      </c>
      <c r="B67" s="36" t="s">
        <v>697</v>
      </c>
      <c r="C67" s="5"/>
      <c r="D67" s="5"/>
      <c r="E67" s="5"/>
      <c r="F67" s="5"/>
      <c r="G67" s="5"/>
      <c r="H67" s="5"/>
    </row>
    <row r="68" customFormat="false" ht="19.5" hidden="false" customHeight="true" outlineLevel="0" collapsed="false">
      <c r="A68" s="41" t="s">
        <v>687</v>
      </c>
      <c r="B68" s="41" t="n">
        <v>0.08</v>
      </c>
      <c r="C68" s="5"/>
      <c r="D68" s="5"/>
      <c r="E68" s="5"/>
      <c r="F68" s="5"/>
      <c r="G68" s="5"/>
      <c r="H68" s="5"/>
    </row>
    <row r="69" customFormat="false" ht="19.5" hidden="false" customHeight="true" outlineLevel="0" collapsed="false">
      <c r="A69" s="41" t="s">
        <v>688</v>
      </c>
      <c r="B69" s="41" t="n">
        <v>0.1</v>
      </c>
      <c r="C69" s="5"/>
      <c r="D69" s="5"/>
      <c r="E69" s="5"/>
      <c r="F69" s="5"/>
      <c r="G69" s="5"/>
      <c r="H69" s="5"/>
    </row>
    <row r="70" customFormat="false" ht="19.5" hidden="false" customHeight="true" outlineLevel="0" collapsed="false">
      <c r="A70" s="41" t="s">
        <v>689</v>
      </c>
      <c r="B70" s="41" t="n">
        <v>0.08</v>
      </c>
      <c r="C70" s="5"/>
      <c r="D70" s="5"/>
      <c r="E70" s="5"/>
      <c r="F70" s="5"/>
      <c r="G70" s="5"/>
      <c r="H70" s="5"/>
    </row>
    <row r="71" customFormat="false" ht="19.5" hidden="false" customHeight="true" outlineLevel="0" collapsed="false">
      <c r="A71" s="41" t="s">
        <v>690</v>
      </c>
      <c r="B71" s="41" t="n">
        <v>0.08</v>
      </c>
      <c r="C71" s="5"/>
      <c r="D71" s="5"/>
      <c r="E71" s="5"/>
      <c r="F71" s="5"/>
      <c r="G71" s="5"/>
      <c r="H71" s="5"/>
    </row>
    <row r="72" customFormat="false" ht="19.5" hidden="false" customHeight="true" outlineLevel="0" collapsed="false">
      <c r="A72" s="41" t="s">
        <v>691</v>
      </c>
      <c r="B72" s="41" t="n">
        <v>0.1</v>
      </c>
      <c r="C72" s="5"/>
      <c r="D72" s="5"/>
      <c r="E72" s="5"/>
      <c r="F72" s="5"/>
      <c r="G72" s="5"/>
      <c r="H72" s="5"/>
    </row>
    <row r="73" customFormat="false" ht="19.5" hidden="false" customHeight="true" outlineLevel="0" collapsed="false">
      <c r="A73" s="41" t="s">
        <v>692</v>
      </c>
      <c r="B73" s="41" t="n">
        <v>0.06</v>
      </c>
      <c r="C73" s="5"/>
      <c r="D73" s="5"/>
      <c r="E73" s="5"/>
      <c r="F73" s="5"/>
      <c r="G73" s="5"/>
      <c r="H73" s="5"/>
    </row>
    <row r="74" customFormat="false" ht="19.5" hidden="false" customHeight="true" outlineLevel="0" collapsed="false">
      <c r="A74" s="41" t="s">
        <v>693</v>
      </c>
      <c r="B74" s="41" t="n">
        <v>0.1</v>
      </c>
      <c r="C74" s="5"/>
      <c r="D74" s="5"/>
      <c r="E74" s="5"/>
      <c r="F74" s="5"/>
      <c r="G74" s="5"/>
      <c r="H74" s="5"/>
    </row>
    <row r="75" customFormat="false" ht="12.75" hidden="false" customHeight="false" outlineLevel="0" collapsed="false">
      <c r="A75" s="5"/>
      <c r="B75" s="5"/>
      <c r="C75" s="5"/>
      <c r="D75" s="5"/>
      <c r="E75" s="5"/>
      <c r="F75" s="5"/>
      <c r="G75" s="5"/>
      <c r="H75" s="5"/>
    </row>
    <row r="76" customFormat="false" ht="27.75" hidden="false" customHeight="true" outlineLevel="0" collapsed="false">
      <c r="A76" s="22" t="s">
        <v>703</v>
      </c>
      <c r="B76" s="5"/>
      <c r="C76" s="5"/>
      <c r="D76" s="5"/>
      <c r="E76" s="5"/>
      <c r="F76" s="5"/>
      <c r="G76" s="5"/>
      <c r="H76" s="5"/>
    </row>
    <row r="77" customFormat="false" ht="27.75" hidden="false" customHeight="true" outlineLevel="0" collapsed="false">
      <c r="A77" s="22" t="s">
        <v>704</v>
      </c>
      <c r="B77" s="5"/>
      <c r="C77" s="5"/>
      <c r="D77" s="5"/>
      <c r="E77" s="5"/>
      <c r="F77" s="5"/>
      <c r="G77" s="5"/>
      <c r="H77" s="5"/>
    </row>
    <row r="78" customFormat="false" ht="27.75" hidden="false" customHeight="true" outlineLevel="0" collapsed="false">
      <c r="A78" s="22" t="s">
        <v>705</v>
      </c>
      <c r="B78" s="5"/>
      <c r="C78" s="5"/>
      <c r="D78" s="5"/>
      <c r="E78" s="5"/>
      <c r="F78" s="5"/>
      <c r="G78" s="5"/>
      <c r="H78" s="5"/>
    </row>
    <row r="79" customFormat="false" ht="27.75" hidden="false" customHeight="true" outlineLevel="0" collapsed="false">
      <c r="A79" s="22" t="s">
        <v>706</v>
      </c>
      <c r="B79" s="5"/>
      <c r="C79" s="5"/>
      <c r="D79" s="5"/>
      <c r="E79" s="5"/>
      <c r="F79" s="5"/>
      <c r="G79" s="5"/>
      <c r="H79" s="5"/>
    </row>
    <row r="80" customFormat="false" ht="27.75" hidden="false" customHeight="true" outlineLevel="0" collapsed="false">
      <c r="A80" s="22" t="s">
        <v>707</v>
      </c>
      <c r="B80" s="5"/>
      <c r="C80" s="5"/>
      <c r="D80" s="5"/>
      <c r="E80" s="5"/>
      <c r="F80" s="5"/>
      <c r="G80" s="5"/>
      <c r="H80" s="5"/>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3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4.25" customHeight="true" zeroHeight="false" outlineLevelRow="0" outlineLevelCol="0"/>
  <cols>
    <col collapsed="false" customWidth="true" hidden="false" outlineLevel="0" max="1" min="1" style="20" width="36"/>
    <col collapsed="false" customWidth="true" hidden="false" outlineLevel="0" max="2" min="2" style="2" width="36"/>
    <col collapsed="false" customWidth="true" hidden="false" outlineLevel="0" max="3" min="3" style="2" width="11"/>
    <col collapsed="false" customWidth="true" hidden="false" outlineLevel="0" max="4" min="4" style="2" width="36"/>
    <col collapsed="false" customWidth="true" hidden="false" outlineLevel="0" max="5" min="5" style="2" width="18"/>
    <col collapsed="false" customWidth="true" hidden="false" outlineLevel="0" max="7" min="6" style="20" width="36"/>
    <col collapsed="false" customWidth="true" hidden="false" outlineLevel="0" max="8" min="8" style="1" width="23"/>
    <col collapsed="false" customWidth="true" hidden="false" outlineLevel="0" max="9" min="9" style="1" width="36"/>
  </cols>
  <sheetData>
    <row r="1" customFormat="false" ht="17.25" hidden="false" customHeight="true" outlineLevel="0" collapsed="false">
      <c r="A1" s="3" t="s">
        <v>708</v>
      </c>
      <c r="B1" s="3"/>
      <c r="C1" s="3"/>
      <c r="D1" s="3"/>
      <c r="E1" s="3"/>
      <c r="F1" s="3"/>
      <c r="G1" s="3"/>
      <c r="H1" s="3"/>
      <c r="I1" s="3"/>
    </row>
    <row r="2" customFormat="false" ht="14.25" hidden="false" customHeight="true" outlineLevel="0" collapsed="false">
      <c r="A2" s="42" t="s">
        <v>90</v>
      </c>
      <c r="B2" s="7" t="s">
        <v>709</v>
      </c>
      <c r="C2" s="5"/>
      <c r="D2" s="5"/>
      <c r="E2" s="5"/>
      <c r="F2" s="5"/>
      <c r="G2" s="5"/>
      <c r="H2" s="5"/>
      <c r="I2" s="5"/>
    </row>
    <row r="3" customFormat="false" ht="14.25" hidden="false" customHeight="true" outlineLevel="0" collapsed="false">
      <c r="A3" s="42" t="s">
        <v>710</v>
      </c>
      <c r="B3" s="7" t="s">
        <v>8</v>
      </c>
      <c r="C3" s="5"/>
      <c r="D3" s="5"/>
      <c r="E3" s="5"/>
      <c r="F3" s="5"/>
      <c r="G3" s="5"/>
      <c r="H3" s="5"/>
      <c r="I3" s="5"/>
    </row>
    <row r="4" customFormat="false" ht="14.25" hidden="false" customHeight="true" outlineLevel="0" collapsed="false">
      <c r="A4" s="42" t="s">
        <v>711</v>
      </c>
      <c r="B4" s="7" t="s">
        <v>128</v>
      </c>
      <c r="C4" s="5"/>
      <c r="D4" s="5"/>
      <c r="E4" s="5"/>
      <c r="F4" s="5"/>
      <c r="G4" s="5"/>
      <c r="H4" s="5"/>
      <c r="I4" s="5"/>
    </row>
    <row r="5" customFormat="false" ht="14.25" hidden="false" customHeight="true" outlineLevel="0" collapsed="false">
      <c r="A5" s="42" t="s">
        <v>712</v>
      </c>
      <c r="B5" s="7" t="s">
        <v>4</v>
      </c>
      <c r="C5" s="5"/>
      <c r="D5" s="5"/>
      <c r="E5" s="5"/>
      <c r="F5" s="5"/>
      <c r="G5" s="5"/>
      <c r="H5" s="5"/>
      <c r="I5" s="5"/>
    </row>
    <row r="6" customFormat="false" ht="14.25" hidden="false" customHeight="true" outlineLevel="0" collapsed="false">
      <c r="A6" s="42" t="s">
        <v>713</v>
      </c>
      <c r="B6" s="7"/>
      <c r="C6" s="5"/>
      <c r="D6" s="5"/>
      <c r="E6" s="5"/>
      <c r="F6" s="5"/>
      <c r="G6" s="5"/>
      <c r="H6" s="5"/>
      <c r="I6" s="5"/>
    </row>
    <row r="7" customFormat="false" ht="13.5" hidden="false" customHeight="true" outlineLevel="0" collapsed="false">
      <c r="A7" s="5"/>
      <c r="B7" s="5"/>
      <c r="C7" s="5"/>
      <c r="D7" s="5"/>
      <c r="E7" s="5"/>
      <c r="F7" s="5"/>
      <c r="G7" s="5"/>
      <c r="H7" s="5"/>
      <c r="I7" s="5"/>
    </row>
    <row r="8" customFormat="false" ht="14.25" hidden="false" customHeight="true" outlineLevel="0" collapsed="false">
      <c r="A8" s="42" t="s">
        <v>714</v>
      </c>
      <c r="B8" s="7" t="s">
        <v>715</v>
      </c>
      <c r="C8" s="5"/>
      <c r="D8" s="5"/>
      <c r="E8" s="5"/>
      <c r="F8" s="5"/>
      <c r="G8" s="5"/>
      <c r="H8" s="5"/>
      <c r="I8" s="5"/>
    </row>
    <row r="9" customFormat="false" ht="13.5" hidden="false" customHeight="true" outlineLevel="0" collapsed="false">
      <c r="A9" s="5"/>
      <c r="B9" s="5"/>
      <c r="C9" s="5"/>
      <c r="D9" s="5"/>
      <c r="E9" s="5"/>
      <c r="F9" s="5"/>
      <c r="G9" s="5"/>
      <c r="H9" s="5"/>
      <c r="I9" s="5"/>
    </row>
    <row r="10" customFormat="false" ht="14.25" hidden="false" customHeight="true" outlineLevel="0" collapsed="false">
      <c r="A10" s="43" t="s">
        <v>696</v>
      </c>
      <c r="B10" s="43" t="s">
        <v>716</v>
      </c>
      <c r="C10" s="43" t="s">
        <v>717</v>
      </c>
      <c r="D10" s="43" t="s">
        <v>718</v>
      </c>
      <c r="E10" s="43" t="s">
        <v>719</v>
      </c>
      <c r="F10" s="43" t="s">
        <v>720</v>
      </c>
      <c r="G10" s="43" t="s">
        <v>721</v>
      </c>
      <c r="H10" s="44" t="s">
        <v>722</v>
      </c>
      <c r="I10" s="44" t="s">
        <v>723</v>
      </c>
    </row>
    <row r="11" customFormat="false" ht="14.25" hidden="false" customHeight="true" outlineLevel="0" collapsed="false">
      <c r="A11" s="41"/>
      <c r="B11" s="41"/>
      <c r="C11" s="41"/>
      <c r="D11" s="41"/>
      <c r="E11" s="41"/>
      <c r="F11" s="41"/>
      <c r="G11" s="41"/>
      <c r="H11" s="5"/>
      <c r="I11" s="5"/>
    </row>
    <row r="12" customFormat="false" ht="14.25" hidden="false" customHeight="true" outlineLevel="0" collapsed="false">
      <c r="A12" s="41" t="s">
        <v>698</v>
      </c>
      <c r="B12" s="41" t="n">
        <v>0.95</v>
      </c>
      <c r="C12" s="41" t="n">
        <v>0.2</v>
      </c>
      <c r="D12" s="41" t="n">
        <f aca="false">IF(SUM($B$12:$B$18)=0,1/7,B12/SUM($B$12:$B$18))</f>
        <v>0.316666666666667</v>
      </c>
      <c r="E12" s="41" t="n">
        <f aca="false">C12+($B$20*D12)</f>
        <v>0.307666666666667</v>
      </c>
      <c r="F12" s="41" t="str">
        <f aca="false">IF(E12-C12&gt;=0.05,"Prominent","Guardrail")</f>
        <v>Prominent</v>
      </c>
      <c r="G12" s="41" t="s">
        <v>724</v>
      </c>
      <c r="H12" s="41" t="s">
        <v>725</v>
      </c>
      <c r="I12" s="41" t="s">
        <v>726</v>
      </c>
    </row>
    <row r="13" customFormat="false" ht="14.25" hidden="false" customHeight="true" outlineLevel="0" collapsed="false">
      <c r="A13" s="41" t="s">
        <v>699</v>
      </c>
      <c r="B13" s="41" t="n">
        <v>0.85</v>
      </c>
      <c r="C13" s="41" t="n">
        <v>0.06</v>
      </c>
      <c r="D13" s="41" t="n">
        <f aca="false">IF(SUM($B$12:$B$18)=0,1/7,B13/SUM($B$12:$B$18))</f>
        <v>0.283333333333333</v>
      </c>
      <c r="E13" s="41" t="n">
        <f aca="false">C13+($B$20*D13)</f>
        <v>0.156333333333333</v>
      </c>
      <c r="F13" s="41" t="str">
        <f aca="false">IF(E13-C13&gt;=0.05,"Prominent","Guardrail")</f>
        <v>Prominent</v>
      </c>
      <c r="G13" s="41" t="s">
        <v>727</v>
      </c>
      <c r="H13" s="41" t="s">
        <v>725</v>
      </c>
      <c r="I13" s="41" t="s">
        <v>728</v>
      </c>
    </row>
    <row r="14" customFormat="false" ht="14.25" hidden="false" customHeight="true" outlineLevel="0" collapsed="false">
      <c r="A14" s="41" t="s">
        <v>700</v>
      </c>
      <c r="B14" s="41" t="n">
        <v>0.55</v>
      </c>
      <c r="C14" s="41" t="n">
        <v>0.06</v>
      </c>
      <c r="D14" s="41" t="n">
        <f aca="false">IF(SUM($B$12:$B$18)=0,1/7,B14/SUM($B$12:$B$18))</f>
        <v>0.183333333333333</v>
      </c>
      <c r="E14" s="41" t="n">
        <f aca="false">C14+($B$20*D14)</f>
        <v>0.122333333333333</v>
      </c>
      <c r="F14" s="41" t="str">
        <f aca="false">IF(E14-C14&gt;=0.05,"Prominent","Guardrail")</f>
        <v>Prominent</v>
      </c>
      <c r="G14" s="41" t="s">
        <v>729</v>
      </c>
      <c r="H14" s="41" t="s">
        <v>725</v>
      </c>
      <c r="I14" s="41" t="s">
        <v>730</v>
      </c>
    </row>
    <row r="15" customFormat="false" ht="14.25" hidden="false" customHeight="true" outlineLevel="0" collapsed="false">
      <c r="A15" s="41" t="s">
        <v>682</v>
      </c>
      <c r="B15" s="41" t="n">
        <v>0.5</v>
      </c>
      <c r="C15" s="41" t="n">
        <v>0.06</v>
      </c>
      <c r="D15" s="41" t="n">
        <f aca="false">IF(SUM($B$12:$B$18)=0,1/7,B15/SUM($B$12:$B$18))</f>
        <v>0.166666666666667</v>
      </c>
      <c r="E15" s="41" t="n">
        <f aca="false">C15+($B$20*D15)</f>
        <v>0.116666666666667</v>
      </c>
      <c r="F15" s="41" t="str">
        <f aca="false">IF(E15-C15&gt;=0.05,"Prominent","Guardrail")</f>
        <v>Prominent</v>
      </c>
      <c r="G15" s="41" t="s">
        <v>731</v>
      </c>
      <c r="H15" s="41" t="s">
        <v>725</v>
      </c>
      <c r="I15" s="41" t="s">
        <v>732</v>
      </c>
    </row>
    <row r="16" customFormat="false" ht="14.25" hidden="false" customHeight="true" outlineLevel="0" collapsed="false">
      <c r="A16" s="41" t="s">
        <v>683</v>
      </c>
      <c r="B16" s="41" t="n">
        <v>0.1</v>
      </c>
      <c r="C16" s="41" t="n">
        <v>0.08</v>
      </c>
      <c r="D16" s="41" t="n">
        <f aca="false">IF(SUM($B$12:$B$18)=0,1/7,B16/SUM($B$12:$B$18))</f>
        <v>0.0333333333333333</v>
      </c>
      <c r="E16" s="41" t="n">
        <f aca="false">C16+($B$20*D16)</f>
        <v>0.0913333333333333</v>
      </c>
      <c r="F16" s="41" t="str">
        <f aca="false">IF(E16-C16&gt;=0.05,"Prominent","Guardrail")</f>
        <v>Guardrail</v>
      </c>
      <c r="G16" s="41" t="s">
        <v>733</v>
      </c>
      <c r="H16" s="41" t="s">
        <v>734</v>
      </c>
      <c r="I16" s="41" t="s">
        <v>735</v>
      </c>
    </row>
    <row r="17" customFormat="false" ht="27.75" hidden="false" customHeight="true" outlineLevel="0" collapsed="false">
      <c r="A17" s="41" t="s">
        <v>684</v>
      </c>
      <c r="B17" s="41" t="n">
        <v>0.03</v>
      </c>
      <c r="C17" s="41" t="n">
        <v>0.1</v>
      </c>
      <c r="D17" s="41" t="n">
        <f aca="false">IF(SUM($B$12:$B$18)=0,1/7,B17/SUM($B$12:$B$18))</f>
        <v>0.01</v>
      </c>
      <c r="E17" s="41" t="n">
        <f aca="false">C17+($B$20*D17)</f>
        <v>0.1034</v>
      </c>
      <c r="F17" s="41" t="str">
        <f aca="false">IF(E17-C17&gt;=0.05,"Prominent","Guardrail")</f>
        <v>Guardrail</v>
      </c>
      <c r="G17" s="41" t="s">
        <v>736</v>
      </c>
      <c r="H17" s="41" t="s">
        <v>734</v>
      </c>
      <c r="I17" s="41" t="s">
        <v>737</v>
      </c>
    </row>
    <row r="18" customFormat="false" ht="14.25" hidden="false" customHeight="true" outlineLevel="0" collapsed="false">
      <c r="A18" s="41" t="s">
        <v>685</v>
      </c>
      <c r="B18" s="41" t="n">
        <v>0.02</v>
      </c>
      <c r="C18" s="41" t="n">
        <v>0.1</v>
      </c>
      <c r="D18" s="41" t="n">
        <f aca="false">IF(SUM($B$12:$B$18)=0,1/7,B18/SUM($B$12:$B$18))</f>
        <v>0.00666666666666667</v>
      </c>
      <c r="E18" s="41" t="n">
        <f aca="false">C18+($B$20*D18)</f>
        <v>0.102266666666667</v>
      </c>
      <c r="F18" s="41" t="str">
        <f aca="false">IF(E18-C18&gt;=0.05,"Prominent","Guardrail")</f>
        <v>Guardrail</v>
      </c>
      <c r="G18" s="41" t="s">
        <v>738</v>
      </c>
      <c r="H18" s="41" t="s">
        <v>734</v>
      </c>
      <c r="I18" s="41" t="s">
        <v>739</v>
      </c>
    </row>
    <row r="19" customFormat="false" ht="14.25" hidden="false" customHeight="true" outlineLevel="0" collapsed="false">
      <c r="A19" s="41"/>
      <c r="B19" s="41"/>
      <c r="C19" s="41"/>
      <c r="D19" s="41"/>
      <c r="E19" s="41"/>
      <c r="F19" s="41"/>
      <c r="G19" s="41"/>
      <c r="H19" s="5"/>
      <c r="I19" s="5"/>
    </row>
    <row r="20" customFormat="false" ht="14.25" hidden="false" customHeight="true" outlineLevel="0" collapsed="false">
      <c r="A20" s="45" t="s">
        <v>740</v>
      </c>
      <c r="B20" s="41" t="n">
        <f aca="false">1-SUM($C$12:$C$18)</f>
        <v>0.34</v>
      </c>
      <c r="C20" s="41"/>
      <c r="D20" s="41"/>
      <c r="E20" s="41"/>
      <c r="F20" s="41"/>
      <c r="G20" s="41"/>
      <c r="H20" s="5"/>
      <c r="I20" s="5"/>
    </row>
    <row r="21" customFormat="false" ht="14.25" hidden="false" customHeight="true" outlineLevel="0" collapsed="false">
      <c r="A21" s="45" t="s">
        <v>741</v>
      </c>
      <c r="B21" s="41" t="n">
        <f aca="false">SUM($E$12:$E$18)</f>
        <v>1</v>
      </c>
      <c r="C21" s="41"/>
      <c r="D21" s="41"/>
      <c r="E21" s="41"/>
      <c r="F21" s="41"/>
      <c r="G21" s="41"/>
      <c r="H21" s="5"/>
      <c r="I21" s="5"/>
    </row>
    <row r="22" customFormat="false" ht="14.25" hidden="false" customHeight="true" outlineLevel="0" collapsed="false">
      <c r="A22" s="45" t="s">
        <v>742</v>
      </c>
      <c r="B22" s="41" t="str">
        <f aca="false">IF(MIN(E12-C12,E13-C13,E14-C14,E15-C15,E16-C16,E17-C17,E18-C18)&gt;=0,"YES","REVIEW")</f>
        <v>YES</v>
      </c>
      <c r="C22" s="41"/>
      <c r="D22" s="41"/>
      <c r="E22" s="41"/>
      <c r="F22" s="41"/>
      <c r="G22" s="41"/>
      <c r="H22" s="5"/>
      <c r="I22" s="5"/>
    </row>
    <row r="23" customFormat="false" ht="14.25" hidden="false" customHeight="true" outlineLevel="0" collapsed="false">
      <c r="A23" s="45" t="s">
        <v>743</v>
      </c>
      <c r="B23" s="41" t="str">
        <f aca="false">IF(OR(B17&gt;0.2,B18&gt;0.2),"ESCALATE_OR_FULL_SCOPE","PLSS_OK")</f>
        <v>PLSS_OK</v>
      </c>
      <c r="C23" s="41"/>
      <c r="D23" s="41"/>
      <c r="E23" s="41"/>
      <c r="F23" s="41"/>
      <c r="G23" s="41"/>
      <c r="H23" s="5"/>
      <c r="I23" s="5"/>
    </row>
    <row r="24" customFormat="false" ht="27.75" hidden="false" customHeight="true" outlineLevel="0" collapsed="false">
      <c r="A24" s="45" t="s">
        <v>744</v>
      </c>
      <c r="B24" s="41" t="s">
        <v>745</v>
      </c>
      <c r="C24" s="41"/>
      <c r="D24" s="41"/>
      <c r="E24" s="41"/>
      <c r="F24" s="41"/>
      <c r="G24" s="41"/>
      <c r="H24" s="5"/>
      <c r="I24" s="5"/>
    </row>
    <row r="25" customFormat="false" ht="13.5" hidden="false" customHeight="true" outlineLevel="0" collapsed="false">
      <c r="A25" s="5"/>
      <c r="B25" s="5"/>
      <c r="C25" s="5"/>
      <c r="D25" s="5"/>
      <c r="E25" s="5"/>
      <c r="F25" s="5"/>
      <c r="G25" s="5"/>
      <c r="H25" s="5"/>
      <c r="I25" s="5"/>
    </row>
    <row r="26" customFormat="false" ht="17.25" hidden="false" customHeight="true" outlineLevel="0" collapsed="false">
      <c r="A26" s="46" t="s">
        <v>746</v>
      </c>
      <c r="B26" s="46"/>
      <c r="C26" s="5"/>
      <c r="D26" s="5"/>
      <c r="E26" s="5"/>
      <c r="F26" s="5"/>
      <c r="G26" s="5"/>
      <c r="H26" s="5"/>
      <c r="I26" s="5"/>
    </row>
    <row r="27" customFormat="false" ht="36" hidden="false" customHeight="true" outlineLevel="0" collapsed="false">
      <c r="A27" s="47" t="s">
        <v>747</v>
      </c>
      <c r="B27" s="41" t="s">
        <v>748</v>
      </c>
      <c r="C27" s="5"/>
      <c r="D27" s="5"/>
      <c r="E27" s="5"/>
      <c r="F27" s="5"/>
      <c r="G27" s="5"/>
      <c r="H27" s="5"/>
      <c r="I27" s="5"/>
    </row>
    <row r="28" customFormat="false" ht="42" hidden="false" customHeight="true" outlineLevel="0" collapsed="false">
      <c r="A28" s="47" t="s">
        <v>749</v>
      </c>
      <c r="B28" s="41" t="s">
        <v>750</v>
      </c>
      <c r="C28" s="5"/>
      <c r="D28" s="5"/>
      <c r="E28" s="5"/>
      <c r="F28" s="5"/>
      <c r="G28" s="5"/>
      <c r="H28" s="5"/>
      <c r="I28" s="5"/>
    </row>
    <row r="29" customFormat="false" ht="30" hidden="false" customHeight="true" outlineLevel="0" collapsed="false">
      <c r="A29" s="47" t="s">
        <v>751</v>
      </c>
      <c r="B29" s="41" t="s">
        <v>752</v>
      </c>
      <c r="C29" s="5"/>
      <c r="D29" s="5"/>
      <c r="E29" s="5"/>
      <c r="F29" s="5"/>
      <c r="G29" s="5"/>
      <c r="H29" s="5"/>
      <c r="I29" s="5"/>
    </row>
    <row r="30" customFormat="false" ht="54" hidden="false" customHeight="true" outlineLevel="0" collapsed="false">
      <c r="A30" s="47" t="s">
        <v>753</v>
      </c>
      <c r="B30" s="41" t="s">
        <v>754</v>
      </c>
      <c r="C30" s="5"/>
      <c r="D30" s="5"/>
      <c r="E30" s="5"/>
      <c r="F30" s="5"/>
      <c r="G30" s="5"/>
      <c r="H30" s="5"/>
      <c r="I30" s="5"/>
    </row>
    <row r="31" customFormat="false" ht="36" hidden="false" customHeight="true" outlineLevel="0" collapsed="false">
      <c r="A31" s="47" t="s">
        <v>755</v>
      </c>
      <c r="B31" s="41" t="s">
        <v>756</v>
      </c>
      <c r="C31" s="5"/>
      <c r="D31" s="5"/>
      <c r="E31" s="5"/>
      <c r="F31" s="5"/>
      <c r="G31" s="5"/>
      <c r="H31" s="5"/>
      <c r="I31" s="5"/>
    </row>
  </sheetData>
  <mergeCells count="3">
    <mergeCell ref="A1:G1"/>
    <mergeCell ref="B24:G24"/>
    <mergeCell ref="A26:B26"/>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7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2" width="36"/>
    <col collapsed="false" customWidth="true" hidden="false" outlineLevel="0" max="2" min="2" style="2" width="10"/>
    <col collapsed="false" customWidth="true" hidden="false" outlineLevel="0" max="3" min="3" style="2" width="13"/>
    <col collapsed="false" customWidth="true" hidden="false" outlineLevel="0" max="4" min="4" style="2" width="11"/>
    <col collapsed="false" customWidth="true" hidden="false" outlineLevel="0" max="8" min="5" style="2" width="10"/>
  </cols>
  <sheetData>
    <row r="1" customFormat="false" ht="14.25" hidden="false" customHeight="true" outlineLevel="0" collapsed="false">
      <c r="A1" s="39" t="s">
        <v>757</v>
      </c>
      <c r="B1" s="39"/>
      <c r="C1" s="39"/>
      <c r="D1" s="39"/>
      <c r="E1" s="39"/>
      <c r="F1" s="39"/>
      <c r="G1" s="39"/>
      <c r="H1" s="39"/>
    </row>
    <row r="2" customFormat="false" ht="13.5" hidden="false" customHeight="true" outlineLevel="0" collapsed="false">
      <c r="A2" s="5"/>
      <c r="B2" s="5"/>
      <c r="C2" s="5"/>
      <c r="D2" s="5"/>
      <c r="E2" s="5"/>
      <c r="F2" s="5"/>
      <c r="G2" s="5"/>
      <c r="H2" s="5"/>
    </row>
    <row r="3" customFormat="false" ht="14.25" hidden="false" customHeight="true" outlineLevel="0" collapsed="false">
      <c r="A3" s="36" t="s">
        <v>758</v>
      </c>
      <c r="B3" s="5"/>
      <c r="C3" s="5"/>
      <c r="D3" s="5"/>
      <c r="E3" s="5"/>
      <c r="F3" s="5"/>
      <c r="G3" s="5"/>
      <c r="H3" s="5"/>
    </row>
    <row r="4" customFormat="false" ht="13.5" hidden="false" customHeight="true" outlineLevel="0" collapsed="false">
      <c r="A4" s="5"/>
      <c r="B4" s="5"/>
      <c r="C4" s="5"/>
      <c r="D4" s="5"/>
      <c r="E4" s="5"/>
      <c r="F4" s="5"/>
      <c r="G4" s="5"/>
      <c r="H4" s="5"/>
    </row>
    <row r="5" customFormat="false" ht="14.25" hidden="false" customHeight="true" outlineLevel="0" collapsed="false">
      <c r="A5" s="48" t="s">
        <v>759</v>
      </c>
      <c r="B5" s="48" t="s">
        <v>171</v>
      </c>
      <c r="C5" s="48" t="s">
        <v>696</v>
      </c>
      <c r="D5" s="48" t="s">
        <v>702</v>
      </c>
      <c r="E5" s="48" t="s">
        <v>173</v>
      </c>
      <c r="F5" s="5"/>
      <c r="G5" s="5"/>
      <c r="H5" s="5"/>
    </row>
    <row r="6" customFormat="false" ht="14.25" hidden="false" customHeight="true" outlineLevel="0" collapsed="false">
      <c r="A6" s="36" t="s">
        <v>759</v>
      </c>
      <c r="B6" s="36" t="s">
        <v>171</v>
      </c>
      <c r="C6" s="36" t="s">
        <v>696</v>
      </c>
      <c r="D6" s="36" t="s">
        <v>702</v>
      </c>
      <c r="E6" s="36" t="s">
        <v>173</v>
      </c>
      <c r="F6" s="5"/>
      <c r="G6" s="5"/>
      <c r="H6" s="5"/>
    </row>
    <row r="7" customFormat="false" ht="14.25" hidden="false" customHeight="true" outlineLevel="0" collapsed="false">
      <c r="A7" s="36" t="n">
        <v>1</v>
      </c>
      <c r="B7" s="36" t="s">
        <v>174</v>
      </c>
      <c r="C7" s="36" t="s">
        <v>760</v>
      </c>
      <c r="D7" s="49" t="s">
        <v>761</v>
      </c>
      <c r="E7" s="49" t="n">
        <v>-0.9</v>
      </c>
      <c r="F7" s="5"/>
      <c r="G7" s="5"/>
      <c r="H7" s="5"/>
    </row>
    <row r="8" customFormat="false" ht="14.25" hidden="false" customHeight="true" outlineLevel="0" collapsed="false">
      <c r="A8" s="36" t="n">
        <v>2</v>
      </c>
      <c r="B8" s="36" t="s">
        <v>174</v>
      </c>
      <c r="C8" s="36" t="s">
        <v>762</v>
      </c>
      <c r="D8" s="49" t="s">
        <v>761</v>
      </c>
      <c r="E8" s="49" t="n">
        <v>-0.9</v>
      </c>
      <c r="F8" s="5"/>
      <c r="G8" s="5"/>
      <c r="H8" s="5"/>
    </row>
    <row r="9" customFormat="false" ht="14.25" hidden="false" customHeight="true" outlineLevel="0" collapsed="false">
      <c r="A9" s="36" t="n">
        <v>3</v>
      </c>
      <c r="B9" s="36" t="s">
        <v>174</v>
      </c>
      <c r="C9" s="36" t="s">
        <v>763</v>
      </c>
      <c r="D9" s="49" t="s">
        <v>761</v>
      </c>
      <c r="E9" s="49" t="n">
        <v>-0.9</v>
      </c>
      <c r="F9" s="5"/>
      <c r="G9" s="5"/>
      <c r="H9" s="5"/>
    </row>
    <row r="10" customFormat="false" ht="14.25" hidden="false" customHeight="true" outlineLevel="0" collapsed="false">
      <c r="A10" s="36" t="n">
        <v>4</v>
      </c>
      <c r="B10" s="36" t="s">
        <v>174</v>
      </c>
      <c r="C10" s="36" t="s">
        <v>764</v>
      </c>
      <c r="D10" s="49" t="s">
        <v>761</v>
      </c>
      <c r="E10" s="49" t="n">
        <v>-0.9</v>
      </c>
      <c r="F10" s="5"/>
      <c r="G10" s="5"/>
      <c r="H10" s="5"/>
    </row>
    <row r="11" customFormat="false" ht="14.25" hidden="false" customHeight="true" outlineLevel="0" collapsed="false">
      <c r="A11" s="36" t="n">
        <v>5</v>
      </c>
      <c r="B11" s="36" t="s">
        <v>174</v>
      </c>
      <c r="C11" s="36" t="s">
        <v>765</v>
      </c>
      <c r="D11" s="49" t="s">
        <v>761</v>
      </c>
      <c r="E11" s="49" t="n">
        <v>-0.9</v>
      </c>
      <c r="F11" s="5"/>
      <c r="G11" s="5"/>
      <c r="H11" s="5"/>
    </row>
    <row r="12" customFormat="false" ht="14.25" hidden="false" customHeight="true" outlineLevel="0" collapsed="false">
      <c r="A12" s="36" t="n">
        <v>6</v>
      </c>
      <c r="B12" s="36" t="s">
        <v>174</v>
      </c>
      <c r="C12" s="36" t="s">
        <v>766</v>
      </c>
      <c r="D12" s="49" t="s">
        <v>761</v>
      </c>
      <c r="E12" s="49" t="n">
        <v>-0.9</v>
      </c>
      <c r="F12" s="5"/>
      <c r="G12" s="5"/>
      <c r="H12" s="5"/>
    </row>
    <row r="13" customFormat="false" ht="14.25" hidden="false" customHeight="true" outlineLevel="0" collapsed="false">
      <c r="A13" s="36" t="n">
        <v>7</v>
      </c>
      <c r="B13" s="36" t="s">
        <v>174</v>
      </c>
      <c r="C13" s="36" t="s">
        <v>766</v>
      </c>
      <c r="D13" s="49" t="s">
        <v>767</v>
      </c>
      <c r="E13" s="49" t="n">
        <v>-0.9</v>
      </c>
      <c r="F13" s="5"/>
      <c r="G13" s="5"/>
      <c r="H13" s="5"/>
    </row>
    <row r="14" customFormat="false" ht="14.25" hidden="false" customHeight="true" outlineLevel="0" collapsed="false">
      <c r="A14" s="36" t="n">
        <v>8</v>
      </c>
      <c r="B14" s="36" t="s">
        <v>175</v>
      </c>
      <c r="C14" s="36" t="s">
        <v>760</v>
      </c>
      <c r="D14" s="49" t="s">
        <v>761</v>
      </c>
      <c r="E14" s="49" t="n">
        <v>-0.7</v>
      </c>
      <c r="F14" s="5"/>
      <c r="G14" s="5"/>
      <c r="H14" s="5"/>
    </row>
    <row r="15" customFormat="false" ht="14.25" hidden="false" customHeight="true" outlineLevel="0" collapsed="false">
      <c r="A15" s="36" t="n">
        <v>9</v>
      </c>
      <c r="B15" s="36" t="s">
        <v>175</v>
      </c>
      <c r="C15" s="36" t="s">
        <v>762</v>
      </c>
      <c r="D15" s="49" t="s">
        <v>761</v>
      </c>
      <c r="E15" s="49" t="n">
        <v>-0.7</v>
      </c>
      <c r="F15" s="5"/>
      <c r="G15" s="5"/>
      <c r="H15" s="5"/>
    </row>
    <row r="16" customFormat="false" ht="14.25" hidden="false" customHeight="true" outlineLevel="0" collapsed="false">
      <c r="A16" s="36" t="n">
        <v>10</v>
      </c>
      <c r="B16" s="36" t="s">
        <v>175</v>
      </c>
      <c r="C16" s="36" t="s">
        <v>763</v>
      </c>
      <c r="D16" s="49" t="s">
        <v>761</v>
      </c>
      <c r="E16" s="49" t="n">
        <v>-0.7</v>
      </c>
      <c r="F16" s="5"/>
      <c r="G16" s="5"/>
      <c r="H16" s="5"/>
    </row>
    <row r="17" customFormat="false" ht="14.25" hidden="false" customHeight="true" outlineLevel="0" collapsed="false">
      <c r="A17" s="36" t="n">
        <v>11</v>
      </c>
      <c r="B17" s="36" t="s">
        <v>175</v>
      </c>
      <c r="C17" s="36" t="s">
        <v>764</v>
      </c>
      <c r="D17" s="49" t="s">
        <v>761</v>
      </c>
      <c r="E17" s="49" t="n">
        <v>-0.7</v>
      </c>
      <c r="F17" s="5"/>
      <c r="G17" s="5"/>
      <c r="H17" s="5"/>
    </row>
    <row r="18" customFormat="false" ht="14.25" hidden="false" customHeight="true" outlineLevel="0" collapsed="false">
      <c r="A18" s="36" t="n">
        <v>12</v>
      </c>
      <c r="B18" s="36" t="s">
        <v>175</v>
      </c>
      <c r="C18" s="36" t="s">
        <v>765</v>
      </c>
      <c r="D18" s="49" t="s">
        <v>761</v>
      </c>
      <c r="E18" s="49" t="n">
        <v>-0.7</v>
      </c>
      <c r="F18" s="5"/>
      <c r="G18" s="5"/>
      <c r="H18" s="5"/>
    </row>
    <row r="19" customFormat="false" ht="14.25" hidden="false" customHeight="true" outlineLevel="0" collapsed="false">
      <c r="A19" s="36" t="n">
        <v>13</v>
      </c>
      <c r="B19" s="36" t="s">
        <v>175</v>
      </c>
      <c r="C19" s="36" t="s">
        <v>766</v>
      </c>
      <c r="D19" s="49" t="s">
        <v>761</v>
      </c>
      <c r="E19" s="49" t="n">
        <v>-0.7</v>
      </c>
      <c r="F19" s="5"/>
      <c r="G19" s="5"/>
      <c r="H19" s="5"/>
    </row>
    <row r="20" customFormat="false" ht="14.25" hidden="false" customHeight="true" outlineLevel="0" collapsed="false">
      <c r="A20" s="36" t="n">
        <v>14</v>
      </c>
      <c r="B20" s="36" t="s">
        <v>181</v>
      </c>
      <c r="C20" s="36" t="s">
        <v>766</v>
      </c>
      <c r="D20" s="49" t="s">
        <v>767</v>
      </c>
      <c r="E20" s="49" t="n">
        <v>-0.65</v>
      </c>
      <c r="F20" s="5"/>
      <c r="G20" s="5"/>
      <c r="H20" s="5"/>
    </row>
    <row r="21" customFormat="false" ht="14.25" hidden="false" customHeight="true" outlineLevel="0" collapsed="false">
      <c r="A21" s="36" t="n">
        <v>15</v>
      </c>
      <c r="B21" s="36" t="s">
        <v>181</v>
      </c>
      <c r="C21" s="36" t="s">
        <v>768</v>
      </c>
      <c r="D21" s="49" t="s">
        <v>767</v>
      </c>
      <c r="E21" s="49" t="n">
        <v>-0.65</v>
      </c>
      <c r="F21" s="5"/>
      <c r="G21" s="5"/>
      <c r="H21" s="5"/>
    </row>
    <row r="22" customFormat="false" ht="14.25" hidden="false" customHeight="true" outlineLevel="0" collapsed="false">
      <c r="A22" s="36" t="n">
        <v>16</v>
      </c>
      <c r="B22" s="36" t="s">
        <v>176</v>
      </c>
      <c r="C22" s="36" t="s">
        <v>760</v>
      </c>
      <c r="D22" s="49" t="s">
        <v>769</v>
      </c>
      <c r="E22" s="49" t="n">
        <v>-0.65</v>
      </c>
      <c r="F22" s="5"/>
      <c r="G22" s="5"/>
      <c r="H22" s="5"/>
    </row>
    <row r="23" customFormat="false" ht="14.25" hidden="false" customHeight="true" outlineLevel="0" collapsed="false">
      <c r="A23" s="36" t="n">
        <v>17</v>
      </c>
      <c r="B23" s="36" t="s">
        <v>176</v>
      </c>
      <c r="C23" s="36" t="s">
        <v>762</v>
      </c>
      <c r="D23" s="49" t="s">
        <v>769</v>
      </c>
      <c r="E23" s="49" t="n">
        <v>-0.65</v>
      </c>
      <c r="F23" s="5"/>
      <c r="G23" s="5"/>
      <c r="H23" s="5"/>
    </row>
    <row r="24" customFormat="false" ht="14.25" hidden="false" customHeight="true" outlineLevel="0" collapsed="false">
      <c r="A24" s="36" t="n">
        <v>18</v>
      </c>
      <c r="B24" s="36" t="s">
        <v>176</v>
      </c>
      <c r="C24" s="36" t="s">
        <v>763</v>
      </c>
      <c r="D24" s="49" t="s">
        <v>769</v>
      </c>
      <c r="E24" s="49" t="n">
        <v>-0.65</v>
      </c>
      <c r="F24" s="5"/>
      <c r="G24" s="5"/>
      <c r="H24" s="5"/>
    </row>
    <row r="25" customFormat="false" ht="14.25" hidden="false" customHeight="true" outlineLevel="0" collapsed="false">
      <c r="A25" s="36" t="n">
        <v>19</v>
      </c>
      <c r="B25" s="36" t="s">
        <v>176</v>
      </c>
      <c r="C25" s="36" t="s">
        <v>764</v>
      </c>
      <c r="D25" s="49" t="s">
        <v>769</v>
      </c>
      <c r="E25" s="49" t="n">
        <v>-0.65</v>
      </c>
      <c r="F25" s="5"/>
      <c r="G25" s="5"/>
      <c r="H25" s="5"/>
    </row>
    <row r="26" customFormat="false" ht="14.25" hidden="false" customHeight="true" outlineLevel="0" collapsed="false">
      <c r="A26" s="36" t="n">
        <v>20</v>
      </c>
      <c r="B26" s="36" t="s">
        <v>176</v>
      </c>
      <c r="C26" s="36" t="s">
        <v>765</v>
      </c>
      <c r="D26" s="49" t="s">
        <v>769</v>
      </c>
      <c r="E26" s="49" t="n">
        <v>-0.65</v>
      </c>
      <c r="F26" s="5"/>
      <c r="G26" s="5"/>
      <c r="H26" s="5"/>
    </row>
    <row r="27" customFormat="false" ht="14.25" hidden="false" customHeight="true" outlineLevel="0" collapsed="false">
      <c r="A27" s="36" t="n">
        <v>21</v>
      </c>
      <c r="B27" s="36" t="s">
        <v>176</v>
      </c>
      <c r="C27" s="36" t="s">
        <v>766</v>
      </c>
      <c r="D27" s="49" t="s">
        <v>769</v>
      </c>
      <c r="E27" s="49" t="n">
        <v>-0.65</v>
      </c>
      <c r="F27" s="5"/>
      <c r="G27" s="5"/>
      <c r="H27" s="5"/>
    </row>
    <row r="28" customFormat="false" ht="14.25" hidden="false" customHeight="true" outlineLevel="0" collapsed="false">
      <c r="A28" s="36" t="n">
        <v>22</v>
      </c>
      <c r="B28" s="36" t="s">
        <v>176</v>
      </c>
      <c r="C28" s="36" t="s">
        <v>763</v>
      </c>
      <c r="D28" s="49" t="s">
        <v>770</v>
      </c>
      <c r="E28" s="49" t="n">
        <v>-0.65</v>
      </c>
      <c r="F28" s="5"/>
      <c r="G28" s="5"/>
      <c r="H28" s="5"/>
    </row>
    <row r="29" customFormat="false" ht="14.25" hidden="false" customHeight="true" outlineLevel="0" collapsed="false">
      <c r="A29" s="36" t="n">
        <v>23</v>
      </c>
      <c r="B29" s="36" t="s">
        <v>176</v>
      </c>
      <c r="C29" s="36" t="s">
        <v>764</v>
      </c>
      <c r="D29" s="49" t="s">
        <v>770</v>
      </c>
      <c r="E29" s="49" t="n">
        <v>-0.65</v>
      </c>
      <c r="F29" s="5"/>
      <c r="G29" s="5"/>
      <c r="H29" s="5"/>
    </row>
    <row r="30" customFormat="false" ht="14.25" hidden="false" customHeight="true" outlineLevel="0" collapsed="false">
      <c r="A30" s="36" t="n">
        <v>24</v>
      </c>
      <c r="B30" s="36" t="s">
        <v>176</v>
      </c>
      <c r="C30" s="36" t="s">
        <v>765</v>
      </c>
      <c r="D30" s="49" t="s">
        <v>770</v>
      </c>
      <c r="E30" s="49" t="n">
        <v>-0.65</v>
      </c>
      <c r="F30" s="5"/>
      <c r="G30" s="5"/>
      <c r="H30" s="5"/>
    </row>
    <row r="31" customFormat="false" ht="14.25" hidden="false" customHeight="true" outlineLevel="0" collapsed="false">
      <c r="A31" s="36" t="n">
        <v>25</v>
      </c>
      <c r="B31" s="36" t="s">
        <v>176</v>
      </c>
      <c r="C31" s="36" t="s">
        <v>766</v>
      </c>
      <c r="D31" s="49" t="s">
        <v>770</v>
      </c>
      <c r="E31" s="49" t="n">
        <v>-0.65</v>
      </c>
      <c r="F31" s="5"/>
      <c r="G31" s="5"/>
      <c r="H31" s="5"/>
    </row>
    <row r="32" customFormat="false" ht="14.25" hidden="false" customHeight="true" outlineLevel="0" collapsed="false">
      <c r="A32" s="36" t="n">
        <v>26</v>
      </c>
      <c r="B32" s="36" t="s">
        <v>177</v>
      </c>
      <c r="C32" s="36" t="s">
        <v>760</v>
      </c>
      <c r="D32" s="49" t="s">
        <v>771</v>
      </c>
      <c r="E32" s="49" t="n">
        <v>-0.5</v>
      </c>
      <c r="F32" s="5"/>
      <c r="G32" s="5"/>
      <c r="H32" s="5"/>
    </row>
    <row r="33" customFormat="false" ht="14.25" hidden="false" customHeight="true" outlineLevel="0" collapsed="false">
      <c r="A33" s="36" t="n">
        <v>27</v>
      </c>
      <c r="B33" s="36" t="s">
        <v>177</v>
      </c>
      <c r="C33" s="36" t="s">
        <v>760</v>
      </c>
      <c r="D33" s="49" t="s">
        <v>761</v>
      </c>
      <c r="E33" s="49" t="n">
        <v>-0.5</v>
      </c>
      <c r="F33" s="5"/>
      <c r="G33" s="5"/>
      <c r="H33" s="5"/>
    </row>
    <row r="34" customFormat="false" ht="14.25" hidden="false" customHeight="true" outlineLevel="0" collapsed="false">
      <c r="A34" s="36" t="n">
        <v>28</v>
      </c>
      <c r="B34" s="36" t="s">
        <v>177</v>
      </c>
      <c r="C34" s="36" t="s">
        <v>762</v>
      </c>
      <c r="D34" s="49" t="s">
        <v>771</v>
      </c>
      <c r="E34" s="49" t="n">
        <v>-0.5</v>
      </c>
      <c r="F34" s="5"/>
      <c r="G34" s="5"/>
      <c r="H34" s="5"/>
    </row>
    <row r="35" customFormat="false" ht="14.25" hidden="false" customHeight="true" outlineLevel="0" collapsed="false">
      <c r="A35" s="36" t="n">
        <v>29</v>
      </c>
      <c r="B35" s="36" t="s">
        <v>177</v>
      </c>
      <c r="C35" s="36" t="s">
        <v>762</v>
      </c>
      <c r="D35" s="49" t="s">
        <v>761</v>
      </c>
      <c r="E35" s="49" t="n">
        <v>-0.5</v>
      </c>
      <c r="F35" s="5"/>
      <c r="G35" s="5"/>
      <c r="H35" s="5"/>
    </row>
    <row r="36" customFormat="false" ht="14.25" hidden="false" customHeight="true" outlineLevel="0" collapsed="false">
      <c r="A36" s="36" t="n">
        <v>30</v>
      </c>
      <c r="B36" s="36" t="s">
        <v>177</v>
      </c>
      <c r="C36" s="36" t="s">
        <v>763</v>
      </c>
      <c r="D36" s="49" t="s">
        <v>771</v>
      </c>
      <c r="E36" s="49" t="n">
        <v>-0.5</v>
      </c>
      <c r="F36" s="5"/>
      <c r="G36" s="5"/>
      <c r="H36" s="5"/>
    </row>
    <row r="37" customFormat="false" ht="14.25" hidden="false" customHeight="true" outlineLevel="0" collapsed="false">
      <c r="A37" s="36" t="n">
        <v>31</v>
      </c>
      <c r="B37" s="36" t="s">
        <v>177</v>
      </c>
      <c r="C37" s="36" t="s">
        <v>763</v>
      </c>
      <c r="D37" s="49" t="s">
        <v>761</v>
      </c>
      <c r="E37" s="49" t="n">
        <v>-0.5</v>
      </c>
      <c r="F37" s="5"/>
      <c r="G37" s="5"/>
      <c r="H37" s="5"/>
    </row>
    <row r="38" customFormat="false" ht="14.25" hidden="false" customHeight="true" outlineLevel="0" collapsed="false">
      <c r="A38" s="36" t="n">
        <v>32</v>
      </c>
      <c r="B38" s="36" t="s">
        <v>177</v>
      </c>
      <c r="C38" s="36" t="s">
        <v>764</v>
      </c>
      <c r="D38" s="49" t="s">
        <v>771</v>
      </c>
      <c r="E38" s="49" t="n">
        <v>-0.5</v>
      </c>
      <c r="F38" s="5"/>
      <c r="G38" s="5"/>
      <c r="H38" s="5"/>
    </row>
    <row r="39" customFormat="false" ht="14.25" hidden="false" customHeight="true" outlineLevel="0" collapsed="false">
      <c r="A39" s="36" t="n">
        <v>33</v>
      </c>
      <c r="B39" s="36" t="s">
        <v>177</v>
      </c>
      <c r="C39" s="36" t="s">
        <v>764</v>
      </c>
      <c r="D39" s="49" t="s">
        <v>761</v>
      </c>
      <c r="E39" s="49" t="n">
        <v>-0.5</v>
      </c>
      <c r="F39" s="5"/>
      <c r="G39" s="5"/>
      <c r="H39" s="5"/>
    </row>
    <row r="40" customFormat="false" ht="14.25" hidden="false" customHeight="true" outlineLevel="0" collapsed="false">
      <c r="A40" s="36" t="n">
        <v>34</v>
      </c>
      <c r="B40" s="36" t="s">
        <v>177</v>
      </c>
      <c r="C40" s="36" t="s">
        <v>765</v>
      </c>
      <c r="D40" s="49" t="s">
        <v>771</v>
      </c>
      <c r="E40" s="49" t="n">
        <v>-0.5</v>
      </c>
      <c r="F40" s="5"/>
      <c r="G40" s="5"/>
      <c r="H40" s="5"/>
    </row>
    <row r="41" customFormat="false" ht="14.25" hidden="false" customHeight="true" outlineLevel="0" collapsed="false">
      <c r="A41" s="36" t="n">
        <v>35</v>
      </c>
      <c r="B41" s="36" t="s">
        <v>177</v>
      </c>
      <c r="C41" s="36" t="s">
        <v>765</v>
      </c>
      <c r="D41" s="49" t="s">
        <v>761</v>
      </c>
      <c r="E41" s="49" t="n">
        <v>-0.5</v>
      </c>
      <c r="F41" s="5"/>
      <c r="G41" s="5"/>
      <c r="H41" s="5"/>
    </row>
    <row r="42" customFormat="false" ht="14.25" hidden="false" customHeight="true" outlineLevel="0" collapsed="false">
      <c r="A42" s="36" t="n">
        <v>36</v>
      </c>
      <c r="B42" s="36" t="s">
        <v>177</v>
      </c>
      <c r="C42" s="36" t="s">
        <v>766</v>
      </c>
      <c r="D42" s="49" t="s">
        <v>771</v>
      </c>
      <c r="E42" s="49" t="n">
        <v>-0.5</v>
      </c>
      <c r="F42" s="5"/>
      <c r="G42" s="5"/>
      <c r="H42" s="5"/>
    </row>
    <row r="43" customFormat="false" ht="14.25" hidden="false" customHeight="true" outlineLevel="0" collapsed="false">
      <c r="A43" s="36" t="n">
        <v>37</v>
      </c>
      <c r="B43" s="36" t="s">
        <v>177</v>
      </c>
      <c r="C43" s="36" t="s">
        <v>766</v>
      </c>
      <c r="D43" s="49" t="s">
        <v>761</v>
      </c>
      <c r="E43" s="49" t="n">
        <v>-0.5</v>
      </c>
      <c r="F43" s="5"/>
      <c r="G43" s="5"/>
      <c r="H43" s="5"/>
    </row>
    <row r="44" customFormat="false" ht="14.25" hidden="false" customHeight="true" outlineLevel="0" collapsed="false">
      <c r="A44" s="36" t="n">
        <v>38</v>
      </c>
      <c r="B44" s="36" t="s">
        <v>178</v>
      </c>
      <c r="C44" s="36" t="s">
        <v>760</v>
      </c>
      <c r="D44" s="49" t="s">
        <v>770</v>
      </c>
      <c r="E44" s="49" t="n">
        <v>-0.55</v>
      </c>
      <c r="F44" s="5"/>
      <c r="G44" s="5"/>
      <c r="H44" s="5"/>
    </row>
    <row r="45" customFormat="false" ht="14.25" hidden="false" customHeight="true" outlineLevel="0" collapsed="false">
      <c r="A45" s="36" t="n">
        <v>39</v>
      </c>
      <c r="B45" s="36" t="s">
        <v>178</v>
      </c>
      <c r="C45" s="36" t="s">
        <v>760</v>
      </c>
      <c r="D45" s="49" t="s">
        <v>769</v>
      </c>
      <c r="E45" s="49" t="n">
        <v>-0.55</v>
      </c>
      <c r="F45" s="5"/>
      <c r="G45" s="5"/>
      <c r="H45" s="5"/>
    </row>
    <row r="46" customFormat="false" ht="14.25" hidden="false" customHeight="true" outlineLevel="0" collapsed="false">
      <c r="A46" s="36" t="n">
        <v>40</v>
      </c>
      <c r="B46" s="36" t="s">
        <v>178</v>
      </c>
      <c r="C46" s="36" t="s">
        <v>762</v>
      </c>
      <c r="D46" s="49" t="s">
        <v>770</v>
      </c>
      <c r="E46" s="49" t="n">
        <v>-0.55</v>
      </c>
      <c r="F46" s="5"/>
      <c r="G46" s="5"/>
      <c r="H46" s="5"/>
    </row>
    <row r="47" customFormat="false" ht="14.25" hidden="false" customHeight="true" outlineLevel="0" collapsed="false">
      <c r="A47" s="36" t="n">
        <v>41</v>
      </c>
      <c r="B47" s="36" t="s">
        <v>178</v>
      </c>
      <c r="C47" s="36" t="s">
        <v>762</v>
      </c>
      <c r="D47" s="49" t="s">
        <v>769</v>
      </c>
      <c r="E47" s="49" t="n">
        <v>-0.55</v>
      </c>
      <c r="F47" s="5"/>
      <c r="G47" s="5"/>
      <c r="H47" s="5"/>
    </row>
    <row r="48" customFormat="false" ht="14.25" hidden="false" customHeight="true" outlineLevel="0" collapsed="false">
      <c r="A48" s="36" t="n">
        <v>42</v>
      </c>
      <c r="B48" s="36" t="s">
        <v>178</v>
      </c>
      <c r="C48" s="36" t="s">
        <v>763</v>
      </c>
      <c r="D48" s="49" t="s">
        <v>770</v>
      </c>
      <c r="E48" s="49" t="n">
        <v>-0.55</v>
      </c>
      <c r="F48" s="5"/>
      <c r="G48" s="5"/>
      <c r="H48" s="5"/>
    </row>
    <row r="49" customFormat="false" ht="14.25" hidden="false" customHeight="true" outlineLevel="0" collapsed="false">
      <c r="A49" s="36" t="n">
        <v>43</v>
      </c>
      <c r="B49" s="36" t="s">
        <v>178</v>
      </c>
      <c r="C49" s="36" t="s">
        <v>763</v>
      </c>
      <c r="D49" s="49" t="s">
        <v>769</v>
      </c>
      <c r="E49" s="49" t="n">
        <v>-0.55</v>
      </c>
      <c r="F49" s="5"/>
      <c r="G49" s="5"/>
      <c r="H49" s="5"/>
    </row>
    <row r="50" customFormat="false" ht="14.25" hidden="false" customHeight="true" outlineLevel="0" collapsed="false">
      <c r="A50" s="36" t="n">
        <v>44</v>
      </c>
      <c r="B50" s="36" t="s">
        <v>178</v>
      </c>
      <c r="C50" s="36" t="s">
        <v>764</v>
      </c>
      <c r="D50" s="49" t="s">
        <v>770</v>
      </c>
      <c r="E50" s="49" t="n">
        <v>-0.55</v>
      </c>
      <c r="F50" s="5"/>
      <c r="G50" s="5"/>
      <c r="H50" s="5"/>
    </row>
    <row r="51" customFormat="false" ht="14.25" hidden="false" customHeight="true" outlineLevel="0" collapsed="false">
      <c r="A51" s="36" t="n">
        <v>45</v>
      </c>
      <c r="B51" s="36" t="s">
        <v>178</v>
      </c>
      <c r="C51" s="36" t="s">
        <v>764</v>
      </c>
      <c r="D51" s="49" t="s">
        <v>769</v>
      </c>
      <c r="E51" s="49" t="n">
        <v>-0.55</v>
      </c>
      <c r="F51" s="5"/>
      <c r="G51" s="5"/>
      <c r="H51" s="5"/>
    </row>
    <row r="52" customFormat="false" ht="14.25" hidden="false" customHeight="true" outlineLevel="0" collapsed="false">
      <c r="A52" s="36" t="n">
        <v>46</v>
      </c>
      <c r="B52" s="36" t="s">
        <v>178</v>
      </c>
      <c r="C52" s="36" t="s">
        <v>765</v>
      </c>
      <c r="D52" s="49" t="s">
        <v>770</v>
      </c>
      <c r="E52" s="49" t="n">
        <v>-0.55</v>
      </c>
      <c r="F52" s="5"/>
      <c r="G52" s="5"/>
      <c r="H52" s="5"/>
    </row>
    <row r="53" customFormat="false" ht="14.25" hidden="false" customHeight="true" outlineLevel="0" collapsed="false">
      <c r="A53" s="36" t="n">
        <v>47</v>
      </c>
      <c r="B53" s="36" t="s">
        <v>178</v>
      </c>
      <c r="C53" s="36" t="s">
        <v>765</v>
      </c>
      <c r="D53" s="49" t="s">
        <v>769</v>
      </c>
      <c r="E53" s="49" t="n">
        <v>-0.55</v>
      </c>
      <c r="F53" s="5"/>
      <c r="G53" s="5"/>
      <c r="H53" s="5"/>
    </row>
    <row r="54" customFormat="false" ht="14.25" hidden="false" customHeight="true" outlineLevel="0" collapsed="false">
      <c r="A54" s="36" t="n">
        <v>48</v>
      </c>
      <c r="B54" s="36" t="s">
        <v>178</v>
      </c>
      <c r="C54" s="36" t="s">
        <v>766</v>
      </c>
      <c r="D54" s="49" t="s">
        <v>770</v>
      </c>
      <c r="E54" s="49" t="n">
        <v>-0.55</v>
      </c>
      <c r="F54" s="5"/>
      <c r="G54" s="5"/>
      <c r="H54" s="5"/>
    </row>
    <row r="55" customFormat="false" ht="14.25" hidden="false" customHeight="true" outlineLevel="0" collapsed="false">
      <c r="A55" s="36" t="n">
        <v>49</v>
      </c>
      <c r="B55" s="36" t="s">
        <v>178</v>
      </c>
      <c r="C55" s="36" t="s">
        <v>766</v>
      </c>
      <c r="D55" s="49" t="s">
        <v>769</v>
      </c>
      <c r="E55" s="49" t="n">
        <v>-0.55</v>
      </c>
      <c r="F55" s="5"/>
      <c r="G55" s="5"/>
      <c r="H55" s="5"/>
    </row>
    <row r="56" customFormat="false" ht="14.25" hidden="false" customHeight="true" outlineLevel="0" collapsed="false">
      <c r="A56" s="36" t="n">
        <v>50</v>
      </c>
      <c r="B56" s="36" t="s">
        <v>179</v>
      </c>
      <c r="C56" s="36" t="s">
        <v>764</v>
      </c>
      <c r="D56" s="49" t="s">
        <v>770</v>
      </c>
      <c r="E56" s="49" t="n">
        <v>-0.45</v>
      </c>
      <c r="F56" s="5"/>
      <c r="G56" s="5"/>
      <c r="H56" s="5"/>
    </row>
    <row r="57" customFormat="false" ht="14.25" hidden="false" customHeight="true" outlineLevel="0" collapsed="false">
      <c r="A57" s="36" t="n">
        <v>51</v>
      </c>
      <c r="B57" s="36" t="s">
        <v>179</v>
      </c>
      <c r="C57" s="36" t="s">
        <v>764</v>
      </c>
      <c r="D57" s="49" t="s">
        <v>772</v>
      </c>
      <c r="E57" s="49" t="n">
        <v>-0.45</v>
      </c>
      <c r="F57" s="5"/>
      <c r="G57" s="5"/>
      <c r="H57" s="5"/>
    </row>
    <row r="58" customFormat="false" ht="14.25" hidden="false" customHeight="true" outlineLevel="0" collapsed="false">
      <c r="A58" s="36" t="n">
        <v>52</v>
      </c>
      <c r="B58" s="36" t="s">
        <v>179</v>
      </c>
      <c r="C58" s="36" t="s">
        <v>764</v>
      </c>
      <c r="D58" s="49" t="s">
        <v>769</v>
      </c>
      <c r="E58" s="49" t="n">
        <v>-0.45</v>
      </c>
      <c r="F58" s="5"/>
      <c r="G58" s="5"/>
      <c r="H58" s="5"/>
    </row>
    <row r="59" customFormat="false" ht="14.25" hidden="false" customHeight="true" outlineLevel="0" collapsed="false">
      <c r="A59" s="36" t="n">
        <v>53</v>
      </c>
      <c r="B59" s="36" t="s">
        <v>179</v>
      </c>
      <c r="C59" s="36" t="s">
        <v>765</v>
      </c>
      <c r="D59" s="49" t="s">
        <v>770</v>
      </c>
      <c r="E59" s="49" t="n">
        <v>-0.45</v>
      </c>
      <c r="F59" s="5"/>
      <c r="G59" s="5"/>
      <c r="H59" s="5"/>
    </row>
    <row r="60" customFormat="false" ht="14.25" hidden="false" customHeight="true" outlineLevel="0" collapsed="false">
      <c r="A60" s="36" t="n">
        <v>54</v>
      </c>
      <c r="B60" s="36" t="s">
        <v>179</v>
      </c>
      <c r="C60" s="36" t="s">
        <v>765</v>
      </c>
      <c r="D60" s="49" t="s">
        <v>772</v>
      </c>
      <c r="E60" s="49" t="n">
        <v>-0.45</v>
      </c>
      <c r="F60" s="5"/>
      <c r="G60" s="5"/>
      <c r="H60" s="5"/>
    </row>
    <row r="61" customFormat="false" ht="14.25" hidden="false" customHeight="true" outlineLevel="0" collapsed="false">
      <c r="A61" s="36" t="n">
        <v>55</v>
      </c>
      <c r="B61" s="36" t="s">
        <v>179</v>
      </c>
      <c r="C61" s="36" t="s">
        <v>765</v>
      </c>
      <c r="D61" s="49" t="s">
        <v>769</v>
      </c>
      <c r="E61" s="49" t="n">
        <v>-0.45</v>
      </c>
      <c r="F61" s="5"/>
      <c r="G61" s="5"/>
      <c r="H61" s="5"/>
    </row>
    <row r="62" customFormat="false" ht="14.25" hidden="false" customHeight="true" outlineLevel="0" collapsed="false">
      <c r="A62" s="36" t="n">
        <v>56</v>
      </c>
      <c r="B62" s="36" t="s">
        <v>179</v>
      </c>
      <c r="C62" s="36" t="s">
        <v>766</v>
      </c>
      <c r="D62" s="49" t="s">
        <v>770</v>
      </c>
      <c r="E62" s="49" t="n">
        <v>-0.45</v>
      </c>
      <c r="F62" s="5"/>
      <c r="G62" s="5"/>
      <c r="H62" s="5"/>
    </row>
    <row r="63" customFormat="false" ht="14.25" hidden="false" customHeight="true" outlineLevel="0" collapsed="false">
      <c r="A63" s="36" t="n">
        <v>57</v>
      </c>
      <c r="B63" s="36" t="s">
        <v>179</v>
      </c>
      <c r="C63" s="36" t="s">
        <v>766</v>
      </c>
      <c r="D63" s="49" t="s">
        <v>772</v>
      </c>
      <c r="E63" s="49" t="n">
        <v>-0.45</v>
      </c>
      <c r="F63" s="5"/>
      <c r="G63" s="5"/>
      <c r="H63" s="5"/>
    </row>
    <row r="64" customFormat="false" ht="14.25" hidden="false" customHeight="true" outlineLevel="0" collapsed="false">
      <c r="A64" s="36" t="n">
        <v>58</v>
      </c>
      <c r="B64" s="36" t="s">
        <v>179</v>
      </c>
      <c r="C64" s="36" t="s">
        <v>766</v>
      </c>
      <c r="D64" s="49" t="s">
        <v>769</v>
      </c>
      <c r="E64" s="49" t="n">
        <v>-0.45</v>
      </c>
      <c r="F64" s="5"/>
      <c r="G64" s="5"/>
      <c r="H64" s="5"/>
    </row>
    <row r="65" customFormat="false" ht="14.25" hidden="false" customHeight="true" outlineLevel="0" collapsed="false">
      <c r="A65" s="36" t="n">
        <v>59</v>
      </c>
      <c r="B65" s="36" t="s">
        <v>180</v>
      </c>
      <c r="C65" s="36" t="s">
        <v>760</v>
      </c>
      <c r="D65" s="49" t="s">
        <v>772</v>
      </c>
      <c r="E65" s="49" t="n">
        <v>-0.4</v>
      </c>
      <c r="F65" s="5"/>
      <c r="G65" s="5"/>
      <c r="H65" s="5"/>
    </row>
    <row r="66" customFormat="false" ht="14.25" hidden="false" customHeight="true" outlineLevel="0" collapsed="false">
      <c r="A66" s="36" t="n">
        <v>60</v>
      </c>
      <c r="B66" s="36" t="s">
        <v>180</v>
      </c>
      <c r="C66" s="36" t="s">
        <v>760</v>
      </c>
      <c r="D66" s="49" t="s">
        <v>769</v>
      </c>
      <c r="E66" s="49" t="n">
        <v>-0.4</v>
      </c>
      <c r="F66" s="5"/>
      <c r="G66" s="5"/>
      <c r="H66" s="5"/>
    </row>
    <row r="67" customFormat="false" ht="14.25" hidden="false" customHeight="true" outlineLevel="0" collapsed="false">
      <c r="A67" s="36" t="n">
        <v>61</v>
      </c>
      <c r="B67" s="36" t="s">
        <v>180</v>
      </c>
      <c r="C67" s="36" t="s">
        <v>762</v>
      </c>
      <c r="D67" s="49" t="s">
        <v>772</v>
      </c>
      <c r="E67" s="49" t="n">
        <v>-0.4</v>
      </c>
      <c r="F67" s="5"/>
      <c r="G67" s="5"/>
      <c r="H67" s="5"/>
    </row>
    <row r="68" customFormat="false" ht="14.25" hidden="false" customHeight="true" outlineLevel="0" collapsed="false">
      <c r="A68" s="36" t="n">
        <v>62</v>
      </c>
      <c r="B68" s="36" t="s">
        <v>180</v>
      </c>
      <c r="C68" s="36" t="s">
        <v>762</v>
      </c>
      <c r="D68" s="49" t="s">
        <v>769</v>
      </c>
      <c r="E68" s="49" t="n">
        <v>-0.4</v>
      </c>
      <c r="F68" s="5"/>
      <c r="G68" s="5"/>
      <c r="H68" s="5"/>
    </row>
    <row r="69" customFormat="false" ht="14.25" hidden="false" customHeight="true" outlineLevel="0" collapsed="false">
      <c r="A69" s="36" t="n">
        <v>63</v>
      </c>
      <c r="B69" s="36" t="s">
        <v>180</v>
      </c>
      <c r="C69" s="36" t="s">
        <v>763</v>
      </c>
      <c r="D69" s="49" t="s">
        <v>772</v>
      </c>
      <c r="E69" s="49" t="n">
        <v>-0.4</v>
      </c>
      <c r="F69" s="5"/>
      <c r="G69" s="5"/>
      <c r="H69" s="5"/>
    </row>
    <row r="70" customFormat="false" ht="14.25" hidden="false" customHeight="true" outlineLevel="0" collapsed="false">
      <c r="A70" s="36" t="n">
        <v>64</v>
      </c>
      <c r="B70" s="36" t="s">
        <v>180</v>
      </c>
      <c r="C70" s="36" t="s">
        <v>763</v>
      </c>
      <c r="D70" s="49" t="s">
        <v>769</v>
      </c>
      <c r="E70" s="49" t="n">
        <v>-0.4</v>
      </c>
      <c r="F70" s="5"/>
      <c r="G70" s="5"/>
      <c r="H70" s="5"/>
    </row>
    <row r="71" customFormat="false" ht="14.25" hidden="false" customHeight="true" outlineLevel="0" collapsed="false">
      <c r="A71" s="36" t="n">
        <v>65</v>
      </c>
      <c r="B71" s="36" t="s">
        <v>180</v>
      </c>
      <c r="C71" s="36" t="s">
        <v>764</v>
      </c>
      <c r="D71" s="49" t="s">
        <v>772</v>
      </c>
      <c r="E71" s="49" t="n">
        <v>-0.4</v>
      </c>
      <c r="F71" s="5"/>
      <c r="G71" s="5"/>
      <c r="H71" s="5"/>
    </row>
    <row r="72" customFormat="false" ht="14.25" hidden="false" customHeight="true" outlineLevel="0" collapsed="false">
      <c r="A72" s="36" t="n">
        <v>66</v>
      </c>
      <c r="B72" s="36" t="s">
        <v>180</v>
      </c>
      <c r="C72" s="36" t="s">
        <v>764</v>
      </c>
      <c r="D72" s="36" t="s">
        <v>769</v>
      </c>
      <c r="E72" s="36" t="n">
        <v>-0.4</v>
      </c>
      <c r="F72" s="5"/>
      <c r="G72" s="5"/>
      <c r="H72" s="5"/>
    </row>
    <row r="73" customFormat="false" ht="14.25" hidden="false" customHeight="true" outlineLevel="0" collapsed="false">
      <c r="A73" s="37" t="n">
        <v>67</v>
      </c>
      <c r="B73" s="36" t="s">
        <v>180</v>
      </c>
      <c r="C73" s="36" t="s">
        <v>765</v>
      </c>
      <c r="D73" s="36" t="s">
        <v>772</v>
      </c>
      <c r="E73" s="36" t="n">
        <v>-0.4</v>
      </c>
      <c r="F73" s="5"/>
      <c r="G73" s="5"/>
      <c r="H73" s="5"/>
    </row>
    <row r="74" customFormat="false" ht="14.25" hidden="false" customHeight="true" outlineLevel="0" collapsed="false">
      <c r="A74" s="36" t="n">
        <v>68</v>
      </c>
      <c r="B74" s="36" t="s">
        <v>180</v>
      </c>
      <c r="C74" s="36" t="s">
        <v>765</v>
      </c>
      <c r="D74" s="36" t="s">
        <v>769</v>
      </c>
      <c r="E74" s="36" t="n">
        <v>-0.4</v>
      </c>
      <c r="F74" s="5"/>
      <c r="G74" s="5"/>
      <c r="H74" s="5"/>
    </row>
    <row r="75" customFormat="false" ht="14.25" hidden="false" customHeight="true" outlineLevel="0" collapsed="false">
      <c r="A75" s="36" t="n">
        <v>69</v>
      </c>
      <c r="B75" s="36" t="s">
        <v>180</v>
      </c>
      <c r="C75" s="36" t="s">
        <v>766</v>
      </c>
      <c r="D75" s="36" t="s">
        <v>772</v>
      </c>
      <c r="E75" s="36" t="n">
        <v>-0.4</v>
      </c>
      <c r="F75" s="5"/>
      <c r="G75" s="5"/>
      <c r="H75" s="5"/>
    </row>
    <row r="76" customFormat="false" ht="14.25" hidden="false" customHeight="true" outlineLevel="0" collapsed="false">
      <c r="A76" s="36" t="n">
        <v>70</v>
      </c>
      <c r="B76" s="36" t="s">
        <v>180</v>
      </c>
      <c r="C76" s="36" t="s">
        <v>766</v>
      </c>
      <c r="D76" s="36" t="s">
        <v>769</v>
      </c>
      <c r="E76" s="36" t="n">
        <v>-0.4</v>
      </c>
      <c r="F76" s="5"/>
      <c r="G76" s="5"/>
      <c r="H76" s="5"/>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P7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2" min="1" style="1" width="10"/>
    <col collapsed="false" customWidth="true" hidden="false" outlineLevel="0" max="3" min="3" style="1" width="13"/>
    <col collapsed="false" customWidth="true" hidden="false" outlineLevel="0" max="4" min="4" style="1" width="11"/>
    <col collapsed="false" customWidth="true" hidden="false" outlineLevel="0" max="5" min="5" style="1" width="10"/>
    <col collapsed="false" customWidth="true" hidden="false" outlineLevel="0" max="11" min="6" style="1" width="36"/>
    <col collapsed="false" customWidth="true" hidden="false" outlineLevel="0" max="12" min="12" style="1" width="13"/>
    <col collapsed="false" customWidth="true" hidden="false" outlineLevel="0" max="14" min="13" style="1" width="14"/>
    <col collapsed="false" customWidth="true" hidden="true" outlineLevel="0" max="16" min="15" style="1" width="22"/>
  </cols>
  <sheetData>
    <row r="1" customFormat="false" ht="31.5" hidden="false" customHeight="true" outlineLevel="0" collapsed="false">
      <c r="A1" s="21" t="s">
        <v>759</v>
      </c>
      <c r="B1" s="21" t="s">
        <v>171</v>
      </c>
      <c r="C1" s="21" t="s">
        <v>696</v>
      </c>
      <c r="D1" s="21" t="s">
        <v>702</v>
      </c>
      <c r="E1" s="21" t="s">
        <v>173</v>
      </c>
      <c r="F1" s="21" t="s">
        <v>773</v>
      </c>
      <c r="G1" s="21" t="s">
        <v>774</v>
      </c>
      <c r="H1" s="21" t="s">
        <v>775</v>
      </c>
      <c r="I1" s="21" t="s">
        <v>776</v>
      </c>
      <c r="J1" s="21" t="s">
        <v>777</v>
      </c>
      <c r="K1" s="21" t="s">
        <v>778</v>
      </c>
      <c r="L1" s="21" t="s">
        <v>779</v>
      </c>
      <c r="M1" s="21" t="s">
        <v>780</v>
      </c>
      <c r="N1" s="21" t="s">
        <v>781</v>
      </c>
      <c r="O1" s="21" t="s">
        <v>782</v>
      </c>
      <c r="P1" s="21" t="s">
        <v>783</v>
      </c>
    </row>
    <row r="2" customFormat="false" ht="14.25" hidden="false" customHeight="true" outlineLevel="0" collapsed="false">
      <c r="A2" s="36" t="n">
        <v>1</v>
      </c>
      <c r="B2" s="36" t="s">
        <v>174</v>
      </c>
      <c r="C2" s="36" t="s">
        <v>760</v>
      </c>
      <c r="D2" s="36" t="s">
        <v>761</v>
      </c>
      <c r="E2" s="36" t="n">
        <v>-0.9</v>
      </c>
      <c r="F2" s="49" t="n">
        <f aca="false">INDEX(I_prop!$B$7:$H$13, MATCH($C2, I_prop!$A$7:$A$13,0), MATCH($D2, I_prop!$B$6:$H$6,0))</f>
        <v>0</v>
      </c>
      <c r="G2" s="49" t="n">
        <f aca="false">INDEX(I_prop!$B$18:$H$24, MATCH($C2, I_prop!$A$18:$A$24,0), MATCH($D2, I_prop!$B$17:$H$17,0))</f>
        <v>0</v>
      </c>
      <c r="H2" s="49" t="n">
        <f aca="false">IF($J2&lt;&gt;"",$J2,IF($F2&lt;0,MAX(-1,Subgroup_Overrides!$B$7*$F2),$F2))</f>
        <v>0</v>
      </c>
      <c r="I2" s="49" t="n">
        <f aca="false">IF($K2&lt;&gt;"",$K2,IF($G2&lt;0,MAX(-1,Subgroup_Overrides!$B$7*$G2),$G2))</f>
        <v>0</v>
      </c>
      <c r="J2" s="36" t="str">
        <f aca="false">IF(COUNTIF(Subgroup_Overrides!$H$11:$H$100,"A|"&amp;$C2&amp;"|"&amp;$D2)&gt;0,SUMIFS(Subgroup_Overrides!$F$11:$F$100,Subgroup_Overrides!$H$11:$H$100,"A|"&amp;$C2&amp;"|"&amp;$D2),"")</f>
        <v/>
      </c>
      <c r="K2" s="36" t="str">
        <f aca="false">IF(COUNTIF(Subgroup_Overrides!$H$11:$H$100,"B|"&amp;$C2&amp;"|"&amp;$D2)&gt;0,SUMIFS(Subgroup_Overrides!$F$11:$F$100,Subgroup_Overrides!$H$11:$H$100,"B|"&amp;$C2&amp;"|"&amp;$D2),"")</f>
        <v/>
      </c>
      <c r="L2" s="36" t="str">
        <f aca="false">TRIM(B2)</f>
        <v>LIFE</v>
      </c>
      <c r="M2" s="36" t="n">
        <f aca="false">IF($H2="","",1*$H2)</f>
        <v>0</v>
      </c>
      <c r="N2" s="36" t="n">
        <f aca="false">IF($I2="","",1*$I2)</f>
        <v>0</v>
      </c>
      <c r="O2" s="22" t="str">
        <f aca="false">IF($M2="","",$B2&amp;"|"&amp;ROUND($M2*1000000000000,0))</f>
        <v>LIFE|0</v>
      </c>
      <c r="P2" s="22" t="str">
        <f aca="false">IF($N2="","",$B2&amp;"|"&amp;ROUND($N2*1000000000000,0))</f>
        <v>LIFE|0</v>
      </c>
    </row>
    <row r="3" customFormat="false" ht="14.25" hidden="false" customHeight="true" outlineLevel="0" collapsed="false">
      <c r="A3" s="36" t="n">
        <v>2</v>
      </c>
      <c r="B3" s="36" t="s">
        <v>174</v>
      </c>
      <c r="C3" s="36" t="s">
        <v>762</v>
      </c>
      <c r="D3" s="36" t="s">
        <v>761</v>
      </c>
      <c r="E3" s="36" t="n">
        <v>-0.9</v>
      </c>
      <c r="F3" s="49" t="n">
        <f aca="false">INDEX(I_prop!$B$7:$H$13, MATCH($C3, I_prop!$A$7:$A$13,0), MATCH($D3, I_prop!$B$6:$H$6,0))</f>
        <v>0</v>
      </c>
      <c r="G3" s="49" t="n">
        <f aca="false">INDEX(I_prop!$B$18:$H$24, MATCH($C3, I_prop!$A$18:$A$24,0), MATCH($D3, I_prop!$B$17:$H$17,0))</f>
        <v>0</v>
      </c>
      <c r="H3" s="49" t="n">
        <f aca="false">IF($J3&lt;&gt;"",$J3,IF($F3&lt;0,MAX(-1,Subgroup_Overrides!$B$7*$F3),$F3))</f>
        <v>0</v>
      </c>
      <c r="I3" s="49" t="n">
        <f aca="false">IF($K3&lt;&gt;"",$K3,IF($G3&lt;0,MAX(-1,Subgroup_Overrides!$B$7*$G3),$G3))</f>
        <v>0</v>
      </c>
      <c r="J3" s="36" t="str">
        <f aca="false">IF(COUNTIF(Subgroup_Overrides!$H$11:$H$100,"A|"&amp;$C3&amp;"|"&amp;$D3)&gt;0,SUMIFS(Subgroup_Overrides!$F$11:$F$100,Subgroup_Overrides!$H$11:$H$100,"A|"&amp;$C3&amp;"|"&amp;$D3),"")</f>
        <v/>
      </c>
      <c r="K3" s="36" t="str">
        <f aca="false">IF(COUNTIF(Subgroup_Overrides!$H$11:$H$100,"B|"&amp;$C3&amp;"|"&amp;$D3)&gt;0,SUMIFS(Subgroup_Overrides!$F$11:$F$100,Subgroup_Overrides!$H$11:$H$100,"B|"&amp;$C3&amp;"|"&amp;$D3),"")</f>
        <v/>
      </c>
      <c r="L3" s="36" t="str">
        <f aca="false">TRIM(B3)</f>
        <v>LIFE</v>
      </c>
      <c r="M3" s="36" t="n">
        <f aca="false">IF($H3="","",1*$H3)</f>
        <v>0</v>
      </c>
      <c r="N3" s="36" t="n">
        <f aca="false">IF($I3="","",1*$I3)</f>
        <v>0</v>
      </c>
      <c r="O3" s="22" t="str">
        <f aca="false">IF($M3="","",$B3&amp;"|"&amp;ROUND($M3*1000000000000,0))</f>
        <v>LIFE|0</v>
      </c>
      <c r="P3" s="22" t="str">
        <f aca="false">IF($N3="","",$B3&amp;"|"&amp;ROUND($N3*1000000000000,0))</f>
        <v>LIFE|0</v>
      </c>
    </row>
    <row r="4" customFormat="false" ht="14.25" hidden="false" customHeight="true" outlineLevel="0" collapsed="false">
      <c r="A4" s="36" t="n">
        <v>3</v>
      </c>
      <c r="B4" s="36" t="s">
        <v>174</v>
      </c>
      <c r="C4" s="36" t="s">
        <v>763</v>
      </c>
      <c r="D4" s="36" t="s">
        <v>761</v>
      </c>
      <c r="E4" s="36" t="n">
        <v>-0.9</v>
      </c>
      <c r="F4" s="49" t="n">
        <f aca="false">INDEX(I_prop!$B$7:$H$13, MATCH($C4, I_prop!$A$7:$A$13,0), MATCH($D4, I_prop!$B$6:$H$6,0))</f>
        <v>0</v>
      </c>
      <c r="G4" s="49" t="n">
        <f aca="false">INDEX(I_prop!$B$18:$H$24, MATCH($C4, I_prop!$A$18:$A$24,0), MATCH($D4, I_prop!$B$17:$H$17,0))</f>
        <v>0</v>
      </c>
      <c r="H4" s="49" t="n">
        <f aca="false">IF($J4&lt;&gt;"",$J4,IF($F4&lt;0,MAX(-1,Subgroup_Overrides!$B$7*$F4),$F4))</f>
        <v>0</v>
      </c>
      <c r="I4" s="49" t="n">
        <f aca="false">IF($K4&lt;&gt;"",$K4,IF($G4&lt;0,MAX(-1,Subgroup_Overrides!$B$7*$G4),$G4))</f>
        <v>0</v>
      </c>
      <c r="J4" s="36" t="str">
        <f aca="false">IF(COUNTIF(Subgroup_Overrides!$H$11:$H$100,"A|"&amp;$C4&amp;"|"&amp;$D4)&gt;0,SUMIFS(Subgroup_Overrides!$F$11:$F$100,Subgroup_Overrides!$H$11:$H$100,"A|"&amp;$C4&amp;"|"&amp;$D4),"")</f>
        <v/>
      </c>
      <c r="K4" s="36" t="str">
        <f aca="false">IF(COUNTIF(Subgroup_Overrides!$H$11:$H$100,"B|"&amp;$C4&amp;"|"&amp;$D4)&gt;0,SUMIFS(Subgroup_Overrides!$F$11:$F$100,Subgroup_Overrides!$H$11:$H$100,"B|"&amp;$C4&amp;"|"&amp;$D4),"")</f>
        <v/>
      </c>
      <c r="L4" s="36" t="str">
        <f aca="false">TRIM(B4)</f>
        <v>LIFE</v>
      </c>
      <c r="M4" s="36" t="n">
        <f aca="false">IF($H4="","",1*$H4)</f>
        <v>0</v>
      </c>
      <c r="N4" s="36" t="n">
        <f aca="false">IF($I4="","",1*$I4)</f>
        <v>0</v>
      </c>
      <c r="O4" s="22" t="str">
        <f aca="false">IF($M4="","",$B4&amp;"|"&amp;ROUND($M4*1000000000000,0))</f>
        <v>LIFE|0</v>
      </c>
      <c r="P4" s="22" t="str">
        <f aca="false">IF($N4="","",$B4&amp;"|"&amp;ROUND($N4*1000000000000,0))</f>
        <v>LIFE|0</v>
      </c>
    </row>
    <row r="5" customFormat="false" ht="14.25" hidden="false" customHeight="true" outlineLevel="0" collapsed="false">
      <c r="A5" s="36" t="n">
        <v>4</v>
      </c>
      <c r="B5" s="36" t="s">
        <v>174</v>
      </c>
      <c r="C5" s="36" t="s">
        <v>764</v>
      </c>
      <c r="D5" s="36" t="s">
        <v>761</v>
      </c>
      <c r="E5" s="36" t="n">
        <v>-0.9</v>
      </c>
      <c r="F5" s="49" t="n">
        <f aca="false">INDEX(I_prop!$B$7:$H$13, MATCH($C5, I_prop!$A$7:$A$13,0), MATCH($D5, I_prop!$B$6:$H$6,0))</f>
        <v>0</v>
      </c>
      <c r="G5" s="49" t="n">
        <f aca="false">INDEX(I_prop!$B$18:$H$24, MATCH($C5, I_prop!$A$18:$A$24,0), MATCH($D5, I_prop!$B$17:$H$17,0))</f>
        <v>0</v>
      </c>
      <c r="H5" s="49" t="n">
        <f aca="false">IF($J5&lt;&gt;"",$J5,IF($F5&lt;0,MAX(-1,Subgroup_Overrides!$B$7*$F5),$F5))</f>
        <v>0</v>
      </c>
      <c r="I5" s="49" t="n">
        <f aca="false">IF($K5&lt;&gt;"",$K5,IF($G5&lt;0,MAX(-1,Subgroup_Overrides!$B$7*$G5),$G5))</f>
        <v>0</v>
      </c>
      <c r="J5" s="36" t="str">
        <f aca="false">IF(COUNTIF(Subgroup_Overrides!$H$11:$H$100,"A|"&amp;$C5&amp;"|"&amp;$D5)&gt;0,SUMIFS(Subgroup_Overrides!$F$11:$F$100,Subgroup_Overrides!$H$11:$H$100,"A|"&amp;$C5&amp;"|"&amp;$D5),"")</f>
        <v/>
      </c>
      <c r="K5" s="36" t="str">
        <f aca="false">IF(COUNTIF(Subgroup_Overrides!$H$11:$H$100,"B|"&amp;$C5&amp;"|"&amp;$D5)&gt;0,SUMIFS(Subgroup_Overrides!$F$11:$F$100,Subgroup_Overrides!$H$11:$H$100,"B|"&amp;$C5&amp;"|"&amp;$D5),"")</f>
        <v/>
      </c>
      <c r="L5" s="36" t="str">
        <f aca="false">TRIM(B5)</f>
        <v>LIFE</v>
      </c>
      <c r="M5" s="36" t="n">
        <f aca="false">IF($H5="","",1*$H5)</f>
        <v>0</v>
      </c>
      <c r="N5" s="36" t="n">
        <f aca="false">IF($I5="","",1*$I5)</f>
        <v>0</v>
      </c>
      <c r="O5" s="22" t="str">
        <f aca="false">IF($M5="","",$B5&amp;"|"&amp;ROUND($M5*1000000000000,0))</f>
        <v>LIFE|0</v>
      </c>
      <c r="P5" s="22" t="str">
        <f aca="false">IF($N5="","",$B5&amp;"|"&amp;ROUND($N5*1000000000000,0))</f>
        <v>LIFE|0</v>
      </c>
    </row>
    <row r="6" customFormat="false" ht="14.25" hidden="false" customHeight="true" outlineLevel="0" collapsed="false">
      <c r="A6" s="36" t="n">
        <v>5</v>
      </c>
      <c r="B6" s="36" t="s">
        <v>174</v>
      </c>
      <c r="C6" s="36" t="s">
        <v>765</v>
      </c>
      <c r="D6" s="36" t="s">
        <v>761</v>
      </c>
      <c r="E6" s="36" t="n">
        <v>-0.9</v>
      </c>
      <c r="F6" s="49" t="n">
        <f aca="false">INDEX(I_prop!$B$7:$H$13, MATCH($C6, I_prop!$A$7:$A$13,0), MATCH($D6, I_prop!$B$6:$H$6,0))</f>
        <v>0</v>
      </c>
      <c r="G6" s="49" t="n">
        <f aca="false">INDEX(I_prop!$B$18:$H$24, MATCH($C6, I_prop!$A$18:$A$24,0), MATCH($D6, I_prop!$B$17:$H$17,0))</f>
        <v>0</v>
      </c>
      <c r="H6" s="49" t="n">
        <f aca="false">IF($J6&lt;&gt;"",$J6,IF($F6&lt;0,MAX(-1,Subgroup_Overrides!$B$7*$F6),$F6))</f>
        <v>0</v>
      </c>
      <c r="I6" s="49" t="n">
        <f aca="false">IF($K6&lt;&gt;"",$K6,IF($G6&lt;0,MAX(-1,Subgroup_Overrides!$B$7*$G6),$G6))</f>
        <v>0</v>
      </c>
      <c r="J6" s="36" t="str">
        <f aca="false">IF(COUNTIF(Subgroup_Overrides!$H$11:$H$100,"A|"&amp;$C6&amp;"|"&amp;$D6)&gt;0,SUMIFS(Subgroup_Overrides!$F$11:$F$100,Subgroup_Overrides!$H$11:$H$100,"A|"&amp;$C6&amp;"|"&amp;$D6),"")</f>
        <v/>
      </c>
      <c r="K6" s="36" t="str">
        <f aca="false">IF(COUNTIF(Subgroup_Overrides!$H$11:$H$100,"B|"&amp;$C6&amp;"|"&amp;$D6)&gt;0,SUMIFS(Subgroup_Overrides!$F$11:$F$100,Subgroup_Overrides!$H$11:$H$100,"B|"&amp;$C6&amp;"|"&amp;$D6),"")</f>
        <v/>
      </c>
      <c r="L6" s="36" t="str">
        <f aca="false">TRIM(B6)</f>
        <v>LIFE</v>
      </c>
      <c r="M6" s="36" t="n">
        <f aca="false">IF($H6="","",1*$H6)</f>
        <v>0</v>
      </c>
      <c r="N6" s="36" t="n">
        <f aca="false">IF($I6="","",1*$I6)</f>
        <v>0</v>
      </c>
      <c r="O6" s="22" t="str">
        <f aca="false">IF($M6="","",$B6&amp;"|"&amp;ROUND($M6*1000000000000,0))</f>
        <v>LIFE|0</v>
      </c>
      <c r="P6" s="22" t="str">
        <f aca="false">IF($N6="","",$B6&amp;"|"&amp;ROUND($N6*1000000000000,0))</f>
        <v>LIFE|0</v>
      </c>
    </row>
    <row r="7" customFormat="false" ht="14.25" hidden="false" customHeight="true" outlineLevel="0" collapsed="false">
      <c r="A7" s="36" t="n">
        <v>6</v>
      </c>
      <c r="B7" s="36" t="s">
        <v>174</v>
      </c>
      <c r="C7" s="36" t="s">
        <v>766</v>
      </c>
      <c r="D7" s="36" t="s">
        <v>761</v>
      </c>
      <c r="E7" s="36" t="n">
        <v>-0.9</v>
      </c>
      <c r="F7" s="49" t="n">
        <f aca="false">INDEX(I_prop!$B$7:$H$13, MATCH($C7, I_prop!$A$7:$A$13,0), MATCH($D7, I_prop!$B$6:$H$6,0))</f>
        <v>0</v>
      </c>
      <c r="G7" s="49" t="n">
        <f aca="false">INDEX(I_prop!$B$18:$H$24, MATCH($C7, I_prop!$A$18:$A$24,0), MATCH($D7, I_prop!$B$17:$H$17,0))</f>
        <v>0</v>
      </c>
      <c r="H7" s="49" t="n">
        <f aca="false">IF($J7&lt;&gt;"",$J7,IF($F7&lt;0,MAX(-1,Subgroup_Overrides!$B$7*$F7),$F7))</f>
        <v>0</v>
      </c>
      <c r="I7" s="49" t="n">
        <f aca="false">IF($K7&lt;&gt;"",$K7,IF($G7&lt;0,MAX(-1,Subgroup_Overrides!$B$7*$G7),$G7))</f>
        <v>0</v>
      </c>
      <c r="J7" s="36" t="str">
        <f aca="false">IF(COUNTIF(Subgroup_Overrides!$H$11:$H$100,"A|"&amp;$C7&amp;"|"&amp;$D7)&gt;0,SUMIFS(Subgroup_Overrides!$F$11:$F$100,Subgroup_Overrides!$H$11:$H$100,"A|"&amp;$C7&amp;"|"&amp;$D7),"")</f>
        <v/>
      </c>
      <c r="K7" s="36" t="str">
        <f aca="false">IF(COUNTIF(Subgroup_Overrides!$H$11:$H$100,"B|"&amp;$C7&amp;"|"&amp;$D7)&gt;0,SUMIFS(Subgroup_Overrides!$F$11:$F$100,Subgroup_Overrides!$H$11:$H$100,"B|"&amp;$C7&amp;"|"&amp;$D7),"")</f>
        <v/>
      </c>
      <c r="L7" s="36" t="str">
        <f aca="false">TRIM(B7)</f>
        <v>LIFE</v>
      </c>
      <c r="M7" s="36" t="n">
        <f aca="false">IF($H7="","",1*$H7)</f>
        <v>0</v>
      </c>
      <c r="N7" s="36" t="n">
        <f aca="false">IF($I7="","",1*$I7)</f>
        <v>0</v>
      </c>
      <c r="O7" s="22" t="str">
        <f aca="false">IF($M7="","",$B7&amp;"|"&amp;ROUND($M7*1000000000000,0))</f>
        <v>LIFE|0</v>
      </c>
      <c r="P7" s="22" t="str">
        <f aca="false">IF($N7="","",$B7&amp;"|"&amp;ROUND($N7*1000000000000,0))</f>
        <v>LIFE|0</v>
      </c>
    </row>
    <row r="8" customFormat="false" ht="14.25" hidden="false" customHeight="true" outlineLevel="0" collapsed="false">
      <c r="A8" s="36" t="n">
        <v>7</v>
      </c>
      <c r="B8" s="36" t="s">
        <v>174</v>
      </c>
      <c r="C8" s="36" t="s">
        <v>766</v>
      </c>
      <c r="D8" s="36" t="s">
        <v>767</v>
      </c>
      <c r="E8" s="36" t="n">
        <v>-0.9</v>
      </c>
      <c r="F8" s="49" t="n">
        <f aca="false">INDEX(I_prop!$B$7:$H$13, MATCH($C8, I_prop!$A$7:$A$13,0), MATCH($D8, I_prop!$B$6:$H$6,0))</f>
        <v>0</v>
      </c>
      <c r="G8" s="49" t="n">
        <f aca="false">INDEX(I_prop!$B$18:$H$24, MATCH($C8, I_prop!$A$18:$A$24,0), MATCH($D8, I_prop!$B$17:$H$17,0))</f>
        <v>0</v>
      </c>
      <c r="H8" s="49" t="n">
        <f aca="false">IF($J8&lt;&gt;"",$J8,IF($F8&lt;0,MAX(-1,Subgroup_Overrides!$B$7*$F8),$F8))</f>
        <v>0</v>
      </c>
      <c r="I8" s="49" t="n">
        <f aca="false">IF($K8&lt;&gt;"",$K8,IF($G8&lt;0,MAX(-1,Subgroup_Overrides!$B$7*$G8),$G8))</f>
        <v>0</v>
      </c>
      <c r="J8" s="36" t="str">
        <f aca="false">IF(COUNTIF(Subgroup_Overrides!$H$11:$H$100,"A|"&amp;$C8&amp;"|"&amp;$D8)&gt;0,SUMIFS(Subgroup_Overrides!$F$11:$F$100,Subgroup_Overrides!$H$11:$H$100,"A|"&amp;$C8&amp;"|"&amp;$D8),"")</f>
        <v/>
      </c>
      <c r="K8" s="36" t="str">
        <f aca="false">IF(COUNTIF(Subgroup_Overrides!$H$11:$H$100,"B|"&amp;$C8&amp;"|"&amp;$D8)&gt;0,SUMIFS(Subgroup_Overrides!$F$11:$F$100,Subgroup_Overrides!$H$11:$H$100,"B|"&amp;$C8&amp;"|"&amp;$D8),"")</f>
        <v/>
      </c>
      <c r="L8" s="36" t="str">
        <f aca="false">TRIM(B8)</f>
        <v>LIFE</v>
      </c>
      <c r="M8" s="36" t="n">
        <f aca="false">IF($H8="","",1*$H8)</f>
        <v>0</v>
      </c>
      <c r="N8" s="36" t="n">
        <f aca="false">IF($I8="","",1*$I8)</f>
        <v>0</v>
      </c>
      <c r="O8" s="22" t="str">
        <f aca="false">IF($M8="","",$B8&amp;"|"&amp;ROUND($M8*1000000000000,0))</f>
        <v>LIFE|0</v>
      </c>
      <c r="P8" s="22" t="str">
        <f aca="false">IF($N8="","",$B8&amp;"|"&amp;ROUND($N8*1000000000000,0))</f>
        <v>LIFE|0</v>
      </c>
    </row>
    <row r="9" customFormat="false" ht="14.25" hidden="false" customHeight="true" outlineLevel="0" collapsed="false">
      <c r="A9" s="36" t="n">
        <v>8</v>
      </c>
      <c r="B9" s="36" t="s">
        <v>175</v>
      </c>
      <c r="C9" s="36" t="s">
        <v>760</v>
      </c>
      <c r="D9" s="36" t="s">
        <v>761</v>
      </c>
      <c r="E9" s="36" t="n">
        <v>-0.7</v>
      </c>
      <c r="F9" s="49" t="n">
        <f aca="false">INDEX(I_prop!$B$7:$H$13, MATCH($C9, I_prop!$A$7:$A$13,0), MATCH($D9, I_prop!$B$6:$H$6,0))</f>
        <v>0</v>
      </c>
      <c r="G9" s="49" t="n">
        <f aca="false">INDEX(I_prop!$B$18:$H$24, MATCH($C9, I_prop!$A$18:$A$24,0), MATCH($D9, I_prop!$B$17:$H$17,0))</f>
        <v>0</v>
      </c>
      <c r="H9" s="49" t="n">
        <f aca="false">IF($J9&lt;&gt;"",$J9,IF($F9&lt;0,MAX(-1,Subgroup_Overrides!$B$7*$F9),$F9))</f>
        <v>0</v>
      </c>
      <c r="I9" s="49" t="n">
        <f aca="false">IF($K9&lt;&gt;"",$K9,IF($G9&lt;0,MAX(-1,Subgroup_Overrides!$B$7*$G9),$G9))</f>
        <v>0</v>
      </c>
      <c r="J9" s="36" t="str">
        <f aca="false">IF(COUNTIF(Subgroup_Overrides!$H$11:$H$100,"A|"&amp;$C9&amp;"|"&amp;$D9)&gt;0,SUMIFS(Subgroup_Overrides!$F$11:$F$100,Subgroup_Overrides!$H$11:$H$100,"A|"&amp;$C9&amp;"|"&amp;$D9),"")</f>
        <v/>
      </c>
      <c r="K9" s="36" t="str">
        <f aca="false">IF(COUNTIF(Subgroup_Overrides!$H$11:$H$100,"B|"&amp;$C9&amp;"|"&amp;$D9)&gt;0,SUMIFS(Subgroup_Overrides!$F$11:$F$100,Subgroup_Overrides!$H$11:$H$100,"B|"&amp;$C9&amp;"|"&amp;$D9),"")</f>
        <v/>
      </c>
      <c r="L9" s="36" t="str">
        <f aca="false">TRIM(B9)</f>
        <v>BODY</v>
      </c>
      <c r="M9" s="36" t="n">
        <f aca="false">IF($H9="","",1*$H9)</f>
        <v>0</v>
      </c>
      <c r="N9" s="36" t="n">
        <f aca="false">IF($I9="","",1*$I9)</f>
        <v>0</v>
      </c>
      <c r="O9" s="22" t="str">
        <f aca="false">IF($M9="","",$B9&amp;"|"&amp;ROUND($M9*1000000000000,0))</f>
        <v>BODY|0</v>
      </c>
      <c r="P9" s="22" t="str">
        <f aca="false">IF($N9="","",$B9&amp;"|"&amp;ROUND($N9*1000000000000,0))</f>
        <v>BODY|0</v>
      </c>
    </row>
    <row r="10" customFormat="false" ht="14.25" hidden="false" customHeight="true" outlineLevel="0" collapsed="false">
      <c r="A10" s="36" t="n">
        <v>9</v>
      </c>
      <c r="B10" s="36" t="s">
        <v>175</v>
      </c>
      <c r="C10" s="36" t="s">
        <v>762</v>
      </c>
      <c r="D10" s="36" t="s">
        <v>761</v>
      </c>
      <c r="E10" s="36" t="n">
        <v>-0.7</v>
      </c>
      <c r="F10" s="49" t="n">
        <f aca="false">INDEX(I_prop!$B$7:$H$13, MATCH($C10, I_prop!$A$7:$A$13,0), MATCH($D10, I_prop!$B$6:$H$6,0))</f>
        <v>0</v>
      </c>
      <c r="G10" s="49" t="n">
        <f aca="false">INDEX(I_prop!$B$18:$H$24, MATCH($C10, I_prop!$A$18:$A$24,0), MATCH($D10, I_prop!$B$17:$H$17,0))</f>
        <v>0</v>
      </c>
      <c r="H10" s="49" t="n">
        <f aca="false">IF($J10&lt;&gt;"",$J10,IF($F10&lt;0,MAX(-1,Subgroup_Overrides!$B$7*$F10),$F10))</f>
        <v>0</v>
      </c>
      <c r="I10" s="49" t="n">
        <f aca="false">IF($K10&lt;&gt;"",$K10,IF($G10&lt;0,MAX(-1,Subgroup_Overrides!$B$7*$G10),$G10))</f>
        <v>0</v>
      </c>
      <c r="J10" s="36" t="str">
        <f aca="false">IF(COUNTIF(Subgroup_Overrides!$H$11:$H$100,"A|"&amp;$C10&amp;"|"&amp;$D10)&gt;0,SUMIFS(Subgroup_Overrides!$F$11:$F$100,Subgroup_Overrides!$H$11:$H$100,"A|"&amp;$C10&amp;"|"&amp;$D10),"")</f>
        <v/>
      </c>
      <c r="K10" s="36" t="str">
        <f aca="false">IF(COUNTIF(Subgroup_Overrides!$H$11:$H$100,"B|"&amp;$C10&amp;"|"&amp;$D10)&gt;0,SUMIFS(Subgroup_Overrides!$F$11:$F$100,Subgroup_Overrides!$H$11:$H$100,"B|"&amp;$C10&amp;"|"&amp;$D10),"")</f>
        <v/>
      </c>
      <c r="L10" s="36" t="str">
        <f aca="false">TRIM(B10)</f>
        <v>BODY</v>
      </c>
      <c r="M10" s="36" t="n">
        <f aca="false">IF($H10="","",1*$H10)</f>
        <v>0</v>
      </c>
      <c r="N10" s="36" t="n">
        <f aca="false">IF($I10="","",1*$I10)</f>
        <v>0</v>
      </c>
      <c r="O10" s="22" t="str">
        <f aca="false">IF($M10="","",$B10&amp;"|"&amp;ROUND($M10*1000000000000,0))</f>
        <v>BODY|0</v>
      </c>
      <c r="P10" s="22" t="str">
        <f aca="false">IF($N10="","",$B10&amp;"|"&amp;ROUND($N10*1000000000000,0))</f>
        <v>BODY|0</v>
      </c>
    </row>
    <row r="11" customFormat="false" ht="14.25" hidden="false" customHeight="true" outlineLevel="0" collapsed="false">
      <c r="A11" s="36" t="n">
        <v>10</v>
      </c>
      <c r="B11" s="36" t="s">
        <v>175</v>
      </c>
      <c r="C11" s="36" t="s">
        <v>763</v>
      </c>
      <c r="D11" s="36" t="s">
        <v>761</v>
      </c>
      <c r="E11" s="36" t="n">
        <v>-0.7</v>
      </c>
      <c r="F11" s="49" t="n">
        <f aca="false">INDEX(I_prop!$B$7:$H$13, MATCH($C11, I_prop!$A$7:$A$13,0), MATCH($D11, I_prop!$B$6:$H$6,0))</f>
        <v>0</v>
      </c>
      <c r="G11" s="49" t="n">
        <f aca="false">INDEX(I_prop!$B$18:$H$24, MATCH($C11, I_prop!$A$18:$A$24,0), MATCH($D11, I_prop!$B$17:$H$17,0))</f>
        <v>0</v>
      </c>
      <c r="H11" s="49" t="n">
        <f aca="false">IF($J11&lt;&gt;"",$J11,IF($F11&lt;0,MAX(-1,Subgroup_Overrides!$B$7*$F11),$F11))</f>
        <v>0</v>
      </c>
      <c r="I11" s="49" t="n">
        <f aca="false">IF($K11&lt;&gt;"",$K11,IF($G11&lt;0,MAX(-1,Subgroup_Overrides!$B$7*$G11),$G11))</f>
        <v>0</v>
      </c>
      <c r="J11" s="36" t="str">
        <f aca="false">IF(COUNTIF(Subgroup_Overrides!$H$11:$H$100,"A|"&amp;$C11&amp;"|"&amp;$D11)&gt;0,SUMIFS(Subgroup_Overrides!$F$11:$F$100,Subgroup_Overrides!$H$11:$H$100,"A|"&amp;$C11&amp;"|"&amp;$D11),"")</f>
        <v/>
      </c>
      <c r="K11" s="36" t="str">
        <f aca="false">IF(COUNTIF(Subgroup_Overrides!$H$11:$H$100,"B|"&amp;$C11&amp;"|"&amp;$D11)&gt;0,SUMIFS(Subgroup_Overrides!$F$11:$F$100,Subgroup_Overrides!$H$11:$H$100,"B|"&amp;$C11&amp;"|"&amp;$D11),"")</f>
        <v/>
      </c>
      <c r="L11" s="36" t="str">
        <f aca="false">TRIM(B11)</f>
        <v>BODY</v>
      </c>
      <c r="M11" s="36" t="n">
        <f aca="false">IF($H11="","",1*$H11)</f>
        <v>0</v>
      </c>
      <c r="N11" s="36" t="n">
        <f aca="false">IF($I11="","",1*$I11)</f>
        <v>0</v>
      </c>
      <c r="O11" s="22" t="str">
        <f aca="false">IF($M11="","",$B11&amp;"|"&amp;ROUND($M11*1000000000000,0))</f>
        <v>BODY|0</v>
      </c>
      <c r="P11" s="22" t="str">
        <f aca="false">IF($N11="","",$B11&amp;"|"&amp;ROUND($N11*1000000000000,0))</f>
        <v>BODY|0</v>
      </c>
    </row>
    <row r="12" customFormat="false" ht="14.25" hidden="false" customHeight="true" outlineLevel="0" collapsed="false">
      <c r="A12" s="36" t="n">
        <v>11</v>
      </c>
      <c r="B12" s="36" t="s">
        <v>175</v>
      </c>
      <c r="C12" s="36" t="s">
        <v>764</v>
      </c>
      <c r="D12" s="36" t="s">
        <v>761</v>
      </c>
      <c r="E12" s="36" t="n">
        <v>-0.7</v>
      </c>
      <c r="F12" s="49" t="n">
        <f aca="false">INDEX(I_prop!$B$7:$H$13, MATCH($C12, I_prop!$A$7:$A$13,0), MATCH($D12, I_prop!$B$6:$H$6,0))</f>
        <v>0</v>
      </c>
      <c r="G12" s="49" t="n">
        <f aca="false">INDEX(I_prop!$B$18:$H$24, MATCH($C12, I_prop!$A$18:$A$24,0), MATCH($D12, I_prop!$B$17:$H$17,0))</f>
        <v>0</v>
      </c>
      <c r="H12" s="49" t="n">
        <f aca="false">IF($J12&lt;&gt;"",$J12,IF($F12&lt;0,MAX(-1,Subgroup_Overrides!$B$7*$F12),$F12))</f>
        <v>0</v>
      </c>
      <c r="I12" s="49" t="n">
        <f aca="false">IF($K12&lt;&gt;"",$K12,IF($G12&lt;0,MAX(-1,Subgroup_Overrides!$B$7*$G12),$G12))</f>
        <v>0</v>
      </c>
      <c r="J12" s="36" t="str">
        <f aca="false">IF(COUNTIF(Subgroup_Overrides!$H$11:$H$100,"A|"&amp;$C12&amp;"|"&amp;$D12)&gt;0,SUMIFS(Subgroup_Overrides!$F$11:$F$100,Subgroup_Overrides!$H$11:$H$100,"A|"&amp;$C12&amp;"|"&amp;$D12),"")</f>
        <v/>
      </c>
      <c r="K12" s="36" t="str">
        <f aca="false">IF(COUNTIF(Subgroup_Overrides!$H$11:$H$100,"B|"&amp;$C12&amp;"|"&amp;$D12)&gt;0,SUMIFS(Subgroup_Overrides!$F$11:$F$100,Subgroup_Overrides!$H$11:$H$100,"B|"&amp;$C12&amp;"|"&amp;$D12),"")</f>
        <v/>
      </c>
      <c r="L12" s="36" t="str">
        <f aca="false">TRIM(B12)</f>
        <v>BODY</v>
      </c>
      <c r="M12" s="36" t="n">
        <f aca="false">IF($H12="","",1*$H12)</f>
        <v>0</v>
      </c>
      <c r="N12" s="36" t="n">
        <f aca="false">IF($I12="","",1*$I12)</f>
        <v>0</v>
      </c>
      <c r="O12" s="22" t="str">
        <f aca="false">IF($M12="","",$B12&amp;"|"&amp;ROUND($M12*1000000000000,0))</f>
        <v>BODY|0</v>
      </c>
      <c r="P12" s="22" t="str">
        <f aca="false">IF($N12="","",$B12&amp;"|"&amp;ROUND($N12*1000000000000,0))</f>
        <v>BODY|0</v>
      </c>
    </row>
    <row r="13" customFormat="false" ht="14.25" hidden="false" customHeight="true" outlineLevel="0" collapsed="false">
      <c r="A13" s="36" t="n">
        <v>12</v>
      </c>
      <c r="B13" s="36" t="s">
        <v>175</v>
      </c>
      <c r="C13" s="36" t="s">
        <v>765</v>
      </c>
      <c r="D13" s="36" t="s">
        <v>761</v>
      </c>
      <c r="E13" s="36" t="n">
        <v>-0.7</v>
      </c>
      <c r="F13" s="49" t="n">
        <f aca="false">INDEX(I_prop!$B$7:$H$13, MATCH($C13, I_prop!$A$7:$A$13,0), MATCH($D13, I_prop!$B$6:$H$6,0))</f>
        <v>0</v>
      </c>
      <c r="G13" s="49" t="n">
        <f aca="false">INDEX(I_prop!$B$18:$H$24, MATCH($C13, I_prop!$A$18:$A$24,0), MATCH($D13, I_prop!$B$17:$H$17,0))</f>
        <v>0</v>
      </c>
      <c r="H13" s="49" t="n">
        <f aca="false">IF($J13&lt;&gt;"",$J13,IF($F13&lt;0,MAX(-1,Subgroup_Overrides!$B$7*$F13),$F13))</f>
        <v>0</v>
      </c>
      <c r="I13" s="49" t="n">
        <f aca="false">IF($K13&lt;&gt;"",$K13,IF($G13&lt;0,MAX(-1,Subgroup_Overrides!$B$7*$G13),$G13))</f>
        <v>0</v>
      </c>
      <c r="J13" s="36" t="str">
        <f aca="false">IF(COUNTIF(Subgroup_Overrides!$H$11:$H$100,"A|"&amp;$C13&amp;"|"&amp;$D13)&gt;0,SUMIFS(Subgroup_Overrides!$F$11:$F$100,Subgroup_Overrides!$H$11:$H$100,"A|"&amp;$C13&amp;"|"&amp;$D13),"")</f>
        <v/>
      </c>
      <c r="K13" s="36" t="str">
        <f aca="false">IF(COUNTIF(Subgroup_Overrides!$H$11:$H$100,"B|"&amp;$C13&amp;"|"&amp;$D13)&gt;0,SUMIFS(Subgroup_Overrides!$F$11:$F$100,Subgroup_Overrides!$H$11:$H$100,"B|"&amp;$C13&amp;"|"&amp;$D13),"")</f>
        <v/>
      </c>
      <c r="L13" s="36" t="str">
        <f aca="false">TRIM(B13)</f>
        <v>BODY</v>
      </c>
      <c r="M13" s="36" t="n">
        <f aca="false">IF($H13="","",1*$H13)</f>
        <v>0</v>
      </c>
      <c r="N13" s="36" t="n">
        <f aca="false">IF($I13="","",1*$I13)</f>
        <v>0</v>
      </c>
      <c r="O13" s="22" t="str">
        <f aca="false">IF($M13="","",$B13&amp;"|"&amp;ROUND($M13*1000000000000,0))</f>
        <v>BODY|0</v>
      </c>
      <c r="P13" s="22" t="str">
        <f aca="false">IF($N13="","",$B13&amp;"|"&amp;ROUND($N13*1000000000000,0))</f>
        <v>BODY|0</v>
      </c>
    </row>
    <row r="14" customFormat="false" ht="14.25" hidden="false" customHeight="true" outlineLevel="0" collapsed="false">
      <c r="A14" s="36" t="n">
        <v>13</v>
      </c>
      <c r="B14" s="36" t="s">
        <v>175</v>
      </c>
      <c r="C14" s="36" t="s">
        <v>766</v>
      </c>
      <c r="D14" s="36" t="s">
        <v>761</v>
      </c>
      <c r="E14" s="36" t="n">
        <v>-0.7</v>
      </c>
      <c r="F14" s="49" t="n">
        <f aca="false">INDEX(I_prop!$B$7:$H$13, MATCH($C14, I_prop!$A$7:$A$13,0), MATCH($D14, I_prop!$B$6:$H$6,0))</f>
        <v>0</v>
      </c>
      <c r="G14" s="49" t="n">
        <f aca="false">INDEX(I_prop!$B$18:$H$24, MATCH($C14, I_prop!$A$18:$A$24,0), MATCH($D14, I_prop!$B$17:$H$17,0))</f>
        <v>0</v>
      </c>
      <c r="H14" s="49" t="n">
        <f aca="false">IF($J14&lt;&gt;"",$J14,IF($F14&lt;0,MAX(-1,Subgroup_Overrides!$B$7*$F14),$F14))</f>
        <v>0</v>
      </c>
      <c r="I14" s="49" t="n">
        <f aca="false">IF($K14&lt;&gt;"",$K14,IF($G14&lt;0,MAX(-1,Subgroup_Overrides!$B$7*$G14),$G14))</f>
        <v>0</v>
      </c>
      <c r="J14" s="36" t="str">
        <f aca="false">IF(COUNTIF(Subgroup_Overrides!$H$11:$H$100,"A|"&amp;$C14&amp;"|"&amp;$D14)&gt;0,SUMIFS(Subgroup_Overrides!$F$11:$F$100,Subgroup_Overrides!$H$11:$H$100,"A|"&amp;$C14&amp;"|"&amp;$D14),"")</f>
        <v/>
      </c>
      <c r="K14" s="36" t="str">
        <f aca="false">IF(COUNTIF(Subgroup_Overrides!$H$11:$H$100,"B|"&amp;$C14&amp;"|"&amp;$D14)&gt;0,SUMIFS(Subgroup_Overrides!$F$11:$F$100,Subgroup_Overrides!$H$11:$H$100,"B|"&amp;$C14&amp;"|"&amp;$D14),"")</f>
        <v/>
      </c>
      <c r="L14" s="36" t="str">
        <f aca="false">TRIM(B14)</f>
        <v>BODY</v>
      </c>
      <c r="M14" s="36" t="n">
        <f aca="false">IF($H14="","",1*$H14)</f>
        <v>0</v>
      </c>
      <c r="N14" s="36" t="n">
        <f aca="false">IF($I14="","",1*$I14)</f>
        <v>0</v>
      </c>
      <c r="O14" s="22" t="str">
        <f aca="false">IF($M14="","",$B14&amp;"|"&amp;ROUND($M14*1000000000000,0))</f>
        <v>BODY|0</v>
      </c>
      <c r="P14" s="22" t="str">
        <f aca="false">IF($N14="","",$B14&amp;"|"&amp;ROUND($N14*1000000000000,0))</f>
        <v>BODY|0</v>
      </c>
    </row>
    <row r="15" customFormat="false" ht="14.25" hidden="false" customHeight="true" outlineLevel="0" collapsed="false">
      <c r="A15" s="36" t="n">
        <v>14</v>
      </c>
      <c r="B15" s="36" t="s">
        <v>181</v>
      </c>
      <c r="C15" s="36" t="s">
        <v>766</v>
      </c>
      <c r="D15" s="36" t="s">
        <v>767</v>
      </c>
      <c r="E15" s="36" t="n">
        <v>-0.65</v>
      </c>
      <c r="F15" s="49" t="n">
        <f aca="false">INDEX(I_prop!$B$7:$H$13, MATCH($C15, I_prop!$A$7:$A$13,0), MATCH($D15, I_prop!$B$6:$H$6,0))</f>
        <v>0</v>
      </c>
      <c r="G15" s="49" t="n">
        <f aca="false">INDEX(I_prop!$B$18:$H$24, MATCH($C15, I_prop!$A$18:$A$24,0), MATCH($D15, I_prop!$B$17:$H$17,0))</f>
        <v>0</v>
      </c>
      <c r="H15" s="49" t="n">
        <f aca="false">IF($J15&lt;&gt;"",$J15,IF($F15&lt;0,MAX(-1,Subgroup_Overrides!$B$7*$F15),$F15))</f>
        <v>0</v>
      </c>
      <c r="I15" s="49" t="n">
        <f aca="false">IF($K15&lt;&gt;"",$K15,IF($G15&lt;0,MAX(-1,Subgroup_Overrides!$B$7*$G15),$G15))</f>
        <v>0</v>
      </c>
      <c r="J15" s="36" t="str">
        <f aca="false">IF(COUNTIF(Subgroup_Overrides!$H$11:$H$100,"A|"&amp;$C15&amp;"|"&amp;$D15)&gt;0,SUMIFS(Subgroup_Overrides!$F$11:$F$100,Subgroup_Overrides!$H$11:$H$100,"A|"&amp;$C15&amp;"|"&amp;$D15),"")</f>
        <v/>
      </c>
      <c r="K15" s="36" t="str">
        <f aca="false">IF(COUNTIF(Subgroup_Overrides!$H$11:$H$100,"B|"&amp;$C15&amp;"|"&amp;$D15)&gt;0,SUMIFS(Subgroup_Overrides!$F$11:$F$100,Subgroup_Overrides!$H$11:$H$100,"B|"&amp;$C15&amp;"|"&amp;$D15),"")</f>
        <v/>
      </c>
      <c r="L15" s="36" t="str">
        <f aca="false">TRIM(B15)</f>
        <v>ECOL</v>
      </c>
      <c r="M15" s="36" t="n">
        <f aca="false">IF($H15="","",1*$H15)</f>
        <v>0</v>
      </c>
      <c r="N15" s="36" t="n">
        <f aca="false">IF($I15="","",1*$I15)</f>
        <v>0</v>
      </c>
      <c r="O15" s="22" t="str">
        <f aca="false">IF($M15="","",$B15&amp;"|"&amp;ROUND($M15*1000000000000,0))</f>
        <v>ECOL|0</v>
      </c>
      <c r="P15" s="22" t="str">
        <f aca="false">IF($N15="","",$B15&amp;"|"&amp;ROUND($N15*1000000000000,0))</f>
        <v>ECOL|0</v>
      </c>
    </row>
    <row r="16" customFormat="false" ht="14.25" hidden="false" customHeight="true" outlineLevel="0" collapsed="false">
      <c r="A16" s="36" t="n">
        <v>15</v>
      </c>
      <c r="B16" s="36" t="s">
        <v>181</v>
      </c>
      <c r="C16" s="36" t="s">
        <v>768</v>
      </c>
      <c r="D16" s="36" t="s">
        <v>767</v>
      </c>
      <c r="E16" s="36" t="n">
        <v>-0.65</v>
      </c>
      <c r="F16" s="49" t="n">
        <f aca="false">INDEX(I_prop!$B$7:$H$13, MATCH($C16, I_prop!$A$7:$A$13,0), MATCH($D16, I_prop!$B$6:$H$6,0))</f>
        <v>0.0153165179573599</v>
      </c>
      <c r="G16" s="49" t="n">
        <f aca="false">INDEX(I_prop!$B$18:$H$24, MATCH($C16, I_prop!$A$18:$A$24,0), MATCH($D16, I_prop!$B$17:$H$17,0))</f>
        <v>-0.0102114556191722</v>
      </c>
      <c r="H16" s="49" t="n">
        <f aca="false">IF($J16&lt;&gt;"",$J16,IF($F16&lt;0,MAX(-1,Subgroup_Overrides!$B$7*$F16),$F16))</f>
        <v>0.0153165179573599</v>
      </c>
      <c r="I16" s="49" t="n">
        <f aca="false">IF($K16&lt;&gt;"",$K16,IF($G16&lt;0,MAX(-1,Subgroup_Overrides!$B$7*$G16),$G16))</f>
        <v>-0.08</v>
      </c>
      <c r="J16" s="36" t="str">
        <f aca="false">IF(COUNTIF(Subgroup_Overrides!$H$11:$H$100,"A|"&amp;$C16&amp;"|"&amp;$D16)&gt;0,SUMIFS(Subgroup_Overrides!$F$11:$F$100,Subgroup_Overrides!$H$11:$H$100,"A|"&amp;$C16&amp;"|"&amp;$D16),"")</f>
        <v/>
      </c>
      <c r="K16" s="36" t="n">
        <f aca="false">IF(COUNTIF(Subgroup_Overrides!$H$11:$H$100,"B|"&amp;$C16&amp;"|"&amp;$D16)&gt;0,SUMIFS(Subgroup_Overrides!$F$11:$F$100,Subgroup_Overrides!$H$11:$H$100,"B|"&amp;$C16&amp;"|"&amp;$D16),"")</f>
        <v>-0.08</v>
      </c>
      <c r="L16" s="36" t="str">
        <f aca="false">TRIM(B16)</f>
        <v>ECOL</v>
      </c>
      <c r="M16" s="36" t="n">
        <f aca="false">IF($H16="","",1*$H16)</f>
        <v>0.0153165179573599</v>
      </c>
      <c r="N16" s="36" t="n">
        <f aca="false">IF($I16="","",1*$I16)</f>
        <v>-0.08</v>
      </c>
      <c r="O16" s="22" t="str">
        <f aca="false">IF($M16="","",$B16&amp;"|"&amp;ROUND($M16*1000000000000,0))</f>
        <v>ECOL|15316517957</v>
      </c>
      <c r="P16" s="22" t="str">
        <f aca="false">IF($N16="","",$B16&amp;"|"&amp;ROUND($N16*1000000000000,0))</f>
        <v>ECOL|-80000000000</v>
      </c>
    </row>
    <row r="17" customFormat="false" ht="14.25" hidden="false" customHeight="true" outlineLevel="0" collapsed="false">
      <c r="A17" s="36" t="n">
        <v>16</v>
      </c>
      <c r="B17" s="36" t="s">
        <v>176</v>
      </c>
      <c r="C17" s="36" t="s">
        <v>760</v>
      </c>
      <c r="D17" s="36" t="s">
        <v>769</v>
      </c>
      <c r="E17" s="36" t="n">
        <v>-0.65</v>
      </c>
      <c r="F17" s="49" t="n">
        <f aca="false">INDEX(I_prop!$B$7:$H$13, MATCH($C17, I_prop!$A$7:$A$13,0), MATCH($D17, I_prop!$B$6:$H$6,0))</f>
        <v>0.249007884327423</v>
      </c>
      <c r="G17" s="49" t="n">
        <f aca="false">INDEX(I_prop!$B$18:$H$24, MATCH($C17, I_prop!$A$18:$A$24,0), MATCH($D17, I_prop!$B$17:$H$17,0))</f>
        <v>-0.0463335676706336</v>
      </c>
      <c r="H17" s="49" t="n">
        <f aca="false">IF($J17&lt;&gt;"",$J17,IF($F17&lt;0,MAX(-1,Subgroup_Overrides!$B$7*$F17),$F17))</f>
        <v>0.249007884327423</v>
      </c>
      <c r="I17" s="49" t="n">
        <f aca="false">IF($K17&lt;&gt;"",$K17,IF($G17&lt;0,MAX(-1,Subgroup_Overrides!$B$7*$G17),$G17))</f>
        <v>-0.15</v>
      </c>
      <c r="J17" s="36" t="str">
        <f aca="false">IF(COUNTIF(Subgroup_Overrides!$H$11:$H$100,"A|"&amp;$C17&amp;"|"&amp;$D17)&gt;0,SUMIFS(Subgroup_Overrides!$F$11:$F$100,Subgroup_Overrides!$H$11:$H$100,"A|"&amp;$C17&amp;"|"&amp;$D17),"")</f>
        <v/>
      </c>
      <c r="K17" s="36" t="n">
        <f aca="false">IF(COUNTIF(Subgroup_Overrides!$H$11:$H$100,"B|"&amp;$C17&amp;"|"&amp;$D17)&gt;0,SUMIFS(Subgroup_Overrides!$F$11:$F$100,Subgroup_Overrides!$H$11:$H$100,"B|"&amp;$C17&amp;"|"&amp;$D17),"")</f>
        <v>-0.15</v>
      </c>
      <c r="L17" s="36" t="str">
        <f aca="false">TRIM(B17)</f>
        <v>LBTY</v>
      </c>
      <c r="M17" s="36" t="n">
        <f aca="false">IF($H17="","",1*$H17)</f>
        <v>0.249007884327423</v>
      </c>
      <c r="N17" s="36" t="n">
        <f aca="false">IF($I17="","",1*$I17)</f>
        <v>-0.15</v>
      </c>
      <c r="O17" s="22" t="str">
        <f aca="false">IF($M17="","",$B17&amp;"|"&amp;ROUND($M17*1000000000000,0))</f>
        <v>LBTY|249007884327</v>
      </c>
      <c r="P17" s="22" t="str">
        <f aca="false">IF($N17="","",$B17&amp;"|"&amp;ROUND($N17*1000000000000,0))</f>
        <v>LBTY|-150000000000</v>
      </c>
    </row>
    <row r="18" customFormat="false" ht="14.25" hidden="false" customHeight="true" outlineLevel="0" collapsed="false">
      <c r="A18" s="36" t="n">
        <v>17</v>
      </c>
      <c r="B18" s="36" t="s">
        <v>176</v>
      </c>
      <c r="C18" s="36" t="s">
        <v>762</v>
      </c>
      <c r="D18" s="36" t="s">
        <v>769</v>
      </c>
      <c r="E18" s="36" t="n">
        <v>-0.65</v>
      </c>
      <c r="F18" s="49" t="n">
        <f aca="false">INDEX(I_prop!$B$7:$H$13, MATCH($C18, I_prop!$A$7:$A$13,0), MATCH($D18, I_prop!$B$6:$H$6,0))</f>
        <v>0</v>
      </c>
      <c r="G18" s="49" t="n">
        <f aca="false">INDEX(I_prop!$B$18:$H$24, MATCH($C18, I_prop!$A$18:$A$24,0), MATCH($D18, I_prop!$B$17:$H$17,0))</f>
        <v>0</v>
      </c>
      <c r="H18" s="49" t="n">
        <f aca="false">IF($J18&lt;&gt;"",$J18,IF($F18&lt;0,MAX(-1,Subgroup_Overrides!$B$7*$F18),$F18))</f>
        <v>0</v>
      </c>
      <c r="I18" s="49" t="n">
        <f aca="false">IF($K18&lt;&gt;"",$K18,IF($G18&lt;0,MAX(-1,Subgroup_Overrides!$B$7*$G18),$G18))</f>
        <v>0</v>
      </c>
      <c r="J18" s="36" t="str">
        <f aca="false">IF(COUNTIF(Subgroup_Overrides!$H$11:$H$100,"A|"&amp;$C18&amp;"|"&amp;$D18)&gt;0,SUMIFS(Subgroup_Overrides!$F$11:$F$100,Subgroup_Overrides!$H$11:$H$100,"A|"&amp;$C18&amp;"|"&amp;$D18),"")</f>
        <v/>
      </c>
      <c r="K18" s="36" t="str">
        <f aca="false">IF(COUNTIF(Subgroup_Overrides!$H$11:$H$100,"B|"&amp;$C18&amp;"|"&amp;$D18)&gt;0,SUMIFS(Subgroup_Overrides!$F$11:$F$100,Subgroup_Overrides!$H$11:$H$100,"B|"&amp;$C18&amp;"|"&amp;$D18),"")</f>
        <v/>
      </c>
      <c r="L18" s="36" t="str">
        <f aca="false">TRIM(B18)</f>
        <v>LBTY</v>
      </c>
      <c r="M18" s="36" t="n">
        <f aca="false">IF($H18="","",1*$H18)</f>
        <v>0</v>
      </c>
      <c r="N18" s="36" t="n">
        <f aca="false">IF($I18="","",1*$I18)</f>
        <v>0</v>
      </c>
      <c r="O18" s="22" t="str">
        <f aca="false">IF($M18="","",$B18&amp;"|"&amp;ROUND($M18*1000000000000,0))</f>
        <v>LBTY|0</v>
      </c>
      <c r="P18" s="22" t="str">
        <f aca="false">IF($N18="","",$B18&amp;"|"&amp;ROUND($N18*1000000000000,0))</f>
        <v>LBTY|0</v>
      </c>
    </row>
    <row r="19" customFormat="false" ht="14.25" hidden="false" customHeight="true" outlineLevel="0" collapsed="false">
      <c r="A19" s="36" t="n">
        <v>18</v>
      </c>
      <c r="B19" s="36" t="s">
        <v>176</v>
      </c>
      <c r="C19" s="36" t="s">
        <v>763</v>
      </c>
      <c r="D19" s="36" t="s">
        <v>769</v>
      </c>
      <c r="E19" s="36" t="n">
        <v>-0.65</v>
      </c>
      <c r="F19" s="49" t="n">
        <f aca="false">INDEX(I_prop!$B$7:$H$13, MATCH($C19, I_prop!$A$7:$A$13,0), MATCH($D19, I_prop!$B$6:$H$6,0))</f>
        <v>0</v>
      </c>
      <c r="G19" s="49" t="n">
        <f aca="false">INDEX(I_prop!$B$18:$H$24, MATCH($C19, I_prop!$A$18:$A$24,0), MATCH($D19, I_prop!$B$17:$H$17,0))</f>
        <v>0</v>
      </c>
      <c r="H19" s="49" t="n">
        <f aca="false">IF($J19&lt;&gt;"",$J19,IF($F19&lt;0,MAX(-1,Subgroup_Overrides!$B$7*$F19),$F19))</f>
        <v>0</v>
      </c>
      <c r="I19" s="49" t="n">
        <f aca="false">IF($K19&lt;&gt;"",$K19,IF($G19&lt;0,MAX(-1,Subgroup_Overrides!$B$7*$G19),$G19))</f>
        <v>0</v>
      </c>
      <c r="J19" s="36" t="str">
        <f aca="false">IF(COUNTIF(Subgroup_Overrides!$H$11:$H$100,"A|"&amp;$C19&amp;"|"&amp;$D19)&gt;0,SUMIFS(Subgroup_Overrides!$F$11:$F$100,Subgroup_Overrides!$H$11:$H$100,"A|"&amp;$C19&amp;"|"&amp;$D19),"")</f>
        <v/>
      </c>
      <c r="K19" s="36" t="str">
        <f aca="false">IF(COUNTIF(Subgroup_Overrides!$H$11:$H$100,"B|"&amp;$C19&amp;"|"&amp;$D19)&gt;0,SUMIFS(Subgroup_Overrides!$F$11:$F$100,Subgroup_Overrides!$H$11:$H$100,"B|"&amp;$C19&amp;"|"&amp;$D19),"")</f>
        <v/>
      </c>
      <c r="L19" s="36" t="str">
        <f aca="false">TRIM(B19)</f>
        <v>LBTY</v>
      </c>
      <c r="M19" s="36" t="n">
        <f aca="false">IF($H19="","",1*$H19)</f>
        <v>0</v>
      </c>
      <c r="N19" s="36" t="n">
        <f aca="false">IF($I19="","",1*$I19)</f>
        <v>0</v>
      </c>
      <c r="O19" s="22" t="str">
        <f aca="false">IF($M19="","",$B19&amp;"|"&amp;ROUND($M19*1000000000000,0))</f>
        <v>LBTY|0</v>
      </c>
      <c r="P19" s="22" t="str">
        <f aca="false">IF($N19="","",$B19&amp;"|"&amp;ROUND($N19*1000000000000,0))</f>
        <v>LBTY|0</v>
      </c>
    </row>
    <row r="20" customFormat="false" ht="14.25" hidden="false" customHeight="true" outlineLevel="0" collapsed="false">
      <c r="A20" s="36" t="n">
        <v>19</v>
      </c>
      <c r="B20" s="36" t="s">
        <v>176</v>
      </c>
      <c r="C20" s="36" t="s">
        <v>764</v>
      </c>
      <c r="D20" s="36" t="s">
        <v>769</v>
      </c>
      <c r="E20" s="36" t="n">
        <v>-0.65</v>
      </c>
      <c r="F20" s="49" t="n">
        <f aca="false">INDEX(I_prop!$B$7:$H$13, MATCH($C20, I_prop!$A$7:$A$13,0), MATCH($D20, I_prop!$B$6:$H$6,0))</f>
        <v>0</v>
      </c>
      <c r="G20" s="49" t="n">
        <f aca="false">INDEX(I_prop!$B$18:$H$24, MATCH($C20, I_prop!$A$18:$A$24,0), MATCH($D20, I_prop!$B$17:$H$17,0))</f>
        <v>0</v>
      </c>
      <c r="H20" s="49" t="n">
        <f aca="false">IF($J20&lt;&gt;"",$J20,IF($F20&lt;0,MAX(-1,Subgroup_Overrides!$B$7*$F20),$F20))</f>
        <v>0</v>
      </c>
      <c r="I20" s="49" t="n">
        <f aca="false">IF($K20&lt;&gt;"",$K20,IF($G20&lt;0,MAX(-1,Subgroup_Overrides!$B$7*$G20),$G20))</f>
        <v>0</v>
      </c>
      <c r="J20" s="36" t="str">
        <f aca="false">IF(COUNTIF(Subgroup_Overrides!$H$11:$H$100,"A|"&amp;$C20&amp;"|"&amp;$D20)&gt;0,SUMIFS(Subgroup_Overrides!$F$11:$F$100,Subgroup_Overrides!$H$11:$H$100,"A|"&amp;$C20&amp;"|"&amp;$D20),"")</f>
        <v/>
      </c>
      <c r="K20" s="36" t="str">
        <f aca="false">IF(COUNTIF(Subgroup_Overrides!$H$11:$H$100,"B|"&amp;$C20&amp;"|"&amp;$D20)&gt;0,SUMIFS(Subgroup_Overrides!$F$11:$F$100,Subgroup_Overrides!$H$11:$H$100,"B|"&amp;$C20&amp;"|"&amp;$D20),"")</f>
        <v/>
      </c>
      <c r="L20" s="36" t="str">
        <f aca="false">TRIM(B20)</f>
        <v>LBTY</v>
      </c>
      <c r="M20" s="36" t="n">
        <f aca="false">IF($H20="","",1*$H20)</f>
        <v>0</v>
      </c>
      <c r="N20" s="36" t="n">
        <f aca="false">IF($I20="","",1*$I20)</f>
        <v>0</v>
      </c>
      <c r="O20" s="22" t="str">
        <f aca="false">IF($M20="","",$B20&amp;"|"&amp;ROUND($M20*1000000000000,0))</f>
        <v>LBTY|0</v>
      </c>
      <c r="P20" s="22" t="str">
        <f aca="false">IF($N20="","",$B20&amp;"|"&amp;ROUND($N20*1000000000000,0))</f>
        <v>LBTY|0</v>
      </c>
    </row>
    <row r="21" customFormat="false" ht="14.25" hidden="false" customHeight="true" outlineLevel="0" collapsed="false">
      <c r="A21" s="36" t="n">
        <v>20</v>
      </c>
      <c r="B21" s="36" t="s">
        <v>176</v>
      </c>
      <c r="C21" s="36" t="s">
        <v>765</v>
      </c>
      <c r="D21" s="36" t="s">
        <v>769</v>
      </c>
      <c r="E21" s="36" t="n">
        <v>-0.65</v>
      </c>
      <c r="F21" s="49" t="n">
        <f aca="false">INDEX(I_prop!$B$7:$H$13, MATCH($C21, I_prop!$A$7:$A$13,0), MATCH($D21, I_prop!$B$6:$H$6,0))</f>
        <v>0</v>
      </c>
      <c r="G21" s="49" t="n">
        <f aca="false">INDEX(I_prop!$B$18:$H$24, MATCH($C21, I_prop!$A$18:$A$24,0), MATCH($D21, I_prop!$B$17:$H$17,0))</f>
        <v>0</v>
      </c>
      <c r="H21" s="49" t="n">
        <f aca="false">IF($J21&lt;&gt;"",$J21,IF($F21&lt;0,MAX(-1,Subgroup_Overrides!$B$7*$F21),$F21))</f>
        <v>0</v>
      </c>
      <c r="I21" s="49" t="n">
        <f aca="false">IF($K21&lt;&gt;"",$K21,IF($G21&lt;0,MAX(-1,Subgroup_Overrides!$B$7*$G21),$G21))</f>
        <v>0</v>
      </c>
      <c r="J21" s="36" t="str">
        <f aca="false">IF(COUNTIF(Subgroup_Overrides!$H$11:$H$100,"A|"&amp;$C21&amp;"|"&amp;$D21)&gt;0,SUMIFS(Subgroup_Overrides!$F$11:$F$100,Subgroup_Overrides!$H$11:$H$100,"A|"&amp;$C21&amp;"|"&amp;$D21),"")</f>
        <v/>
      </c>
      <c r="K21" s="36" t="str">
        <f aca="false">IF(COUNTIF(Subgroup_Overrides!$H$11:$H$100,"B|"&amp;$C21&amp;"|"&amp;$D21)&gt;0,SUMIFS(Subgroup_Overrides!$F$11:$F$100,Subgroup_Overrides!$H$11:$H$100,"B|"&amp;$C21&amp;"|"&amp;$D21),"")</f>
        <v/>
      </c>
      <c r="L21" s="36" t="str">
        <f aca="false">TRIM(B21)</f>
        <v>LBTY</v>
      </c>
      <c r="M21" s="36" t="n">
        <f aca="false">IF($H21="","",1*$H21)</f>
        <v>0</v>
      </c>
      <c r="N21" s="36" t="n">
        <f aca="false">IF($I21="","",1*$I21)</f>
        <v>0</v>
      </c>
      <c r="O21" s="22" t="str">
        <f aca="false">IF($M21="","",$B21&amp;"|"&amp;ROUND($M21*1000000000000,0))</f>
        <v>LBTY|0</v>
      </c>
      <c r="P21" s="22" t="str">
        <f aca="false">IF($N21="","",$B21&amp;"|"&amp;ROUND($N21*1000000000000,0))</f>
        <v>LBTY|0</v>
      </c>
    </row>
    <row r="22" customFormat="false" ht="14.25" hidden="false" customHeight="true" outlineLevel="0" collapsed="false">
      <c r="A22" s="36" t="n">
        <v>21</v>
      </c>
      <c r="B22" s="36" t="s">
        <v>176</v>
      </c>
      <c r="C22" s="36" t="s">
        <v>766</v>
      </c>
      <c r="D22" s="36" t="s">
        <v>769</v>
      </c>
      <c r="E22" s="36" t="n">
        <v>-0.65</v>
      </c>
      <c r="F22" s="49" t="n">
        <f aca="false">INDEX(I_prop!$B$7:$H$13, MATCH($C22, I_prop!$A$7:$A$13,0), MATCH($D22, I_prop!$B$6:$H$6,0))</f>
        <v>0</v>
      </c>
      <c r="G22" s="49" t="n">
        <f aca="false">INDEX(I_prop!$B$18:$H$24, MATCH($C22, I_prop!$A$18:$A$24,0), MATCH($D22, I_prop!$B$17:$H$17,0))</f>
        <v>0</v>
      </c>
      <c r="H22" s="49" t="n">
        <f aca="false">IF($J22&lt;&gt;"",$J22,IF($F22&lt;0,MAX(-1,Subgroup_Overrides!$B$7*$F22),$F22))</f>
        <v>0</v>
      </c>
      <c r="I22" s="49" t="n">
        <f aca="false">IF($K22&lt;&gt;"",$K22,IF($G22&lt;0,MAX(-1,Subgroup_Overrides!$B$7*$G22),$G22))</f>
        <v>0</v>
      </c>
      <c r="J22" s="36" t="str">
        <f aca="false">IF(COUNTIF(Subgroup_Overrides!$H$11:$H$100,"A|"&amp;$C22&amp;"|"&amp;$D22)&gt;0,SUMIFS(Subgroup_Overrides!$F$11:$F$100,Subgroup_Overrides!$H$11:$H$100,"A|"&amp;$C22&amp;"|"&amp;$D22),"")</f>
        <v/>
      </c>
      <c r="K22" s="36" t="str">
        <f aca="false">IF(COUNTIF(Subgroup_Overrides!$H$11:$H$100,"B|"&amp;$C22&amp;"|"&amp;$D22)&gt;0,SUMIFS(Subgroup_Overrides!$F$11:$F$100,Subgroup_Overrides!$H$11:$H$100,"B|"&amp;$C22&amp;"|"&amp;$D22),"")</f>
        <v/>
      </c>
      <c r="L22" s="36" t="str">
        <f aca="false">TRIM(B22)</f>
        <v>LBTY</v>
      </c>
      <c r="M22" s="36" t="n">
        <f aca="false">IF($H22="","",1*$H22)</f>
        <v>0</v>
      </c>
      <c r="N22" s="36" t="n">
        <f aca="false">IF($I22="","",1*$I22)</f>
        <v>0</v>
      </c>
      <c r="O22" s="22" t="str">
        <f aca="false">IF($M22="","",$B22&amp;"|"&amp;ROUND($M22*1000000000000,0))</f>
        <v>LBTY|0</v>
      </c>
      <c r="P22" s="22" t="str">
        <f aca="false">IF($N22="","",$B22&amp;"|"&amp;ROUND($N22*1000000000000,0))</f>
        <v>LBTY|0</v>
      </c>
    </row>
    <row r="23" customFormat="false" ht="14.25" hidden="false" customHeight="true" outlineLevel="0" collapsed="false">
      <c r="A23" s="36" t="n">
        <v>22</v>
      </c>
      <c r="B23" s="36" t="s">
        <v>176</v>
      </c>
      <c r="C23" s="36" t="s">
        <v>763</v>
      </c>
      <c r="D23" s="36" t="s">
        <v>770</v>
      </c>
      <c r="E23" s="36" t="n">
        <v>-0.65</v>
      </c>
      <c r="F23" s="49" t="n">
        <f aca="false">INDEX(I_prop!$B$7:$H$13, MATCH($C23, I_prop!$A$7:$A$13,0), MATCH($D23, I_prop!$B$6:$H$6,0))</f>
        <v>-0.0807256868155385</v>
      </c>
      <c r="G23" s="49" t="n">
        <f aca="false">INDEX(I_prop!$B$18:$H$24, MATCH($C23, I_prop!$A$18:$A$24,0), MATCH($D23, I_prop!$B$17:$H$17,0))</f>
        <v>0.0615155722135092</v>
      </c>
      <c r="H23" s="49" t="n">
        <f aca="false">IF($J23&lt;&gt;"",$J23,IF($F23&lt;0,MAX(-1,Subgroup_Overrides!$B$7*$F23),$F23))</f>
        <v>-0.15</v>
      </c>
      <c r="I23" s="49" t="n">
        <f aca="false">IF($K23&lt;&gt;"",$K23,IF($G23&lt;0,MAX(-1,Subgroup_Overrides!$B$7*$G23),$G23))</f>
        <v>0.0615155722135092</v>
      </c>
      <c r="J23" s="36" t="n">
        <f aca="false">IF(COUNTIF(Subgroup_Overrides!$H$11:$H$100,"A|"&amp;$C23&amp;"|"&amp;$D23)&gt;0,SUMIFS(Subgroup_Overrides!$F$11:$F$100,Subgroup_Overrides!$H$11:$H$100,"A|"&amp;$C23&amp;"|"&amp;$D23),"")</f>
        <v>-0.15</v>
      </c>
      <c r="K23" s="36" t="str">
        <f aca="false">IF(COUNTIF(Subgroup_Overrides!$H$11:$H$100,"B|"&amp;$C23&amp;"|"&amp;$D23)&gt;0,SUMIFS(Subgroup_Overrides!$F$11:$F$100,Subgroup_Overrides!$H$11:$H$100,"B|"&amp;$C23&amp;"|"&amp;$D23),"")</f>
        <v/>
      </c>
      <c r="L23" s="36" t="str">
        <f aca="false">TRIM(B23)</f>
        <v>LBTY</v>
      </c>
      <c r="M23" s="36" t="n">
        <f aca="false">IF($H23="","",1*$H23)</f>
        <v>-0.15</v>
      </c>
      <c r="N23" s="36" t="n">
        <f aca="false">IF($I23="","",1*$I23)</f>
        <v>0.0615155722135092</v>
      </c>
      <c r="O23" s="22" t="str">
        <f aca="false">IF($M23="","",$B23&amp;"|"&amp;ROUND($M23*1000000000000,0))</f>
        <v>LBTY|-150000000000</v>
      </c>
      <c r="P23" s="22" t="str">
        <f aca="false">IF($N23="","",$B23&amp;"|"&amp;ROUND($N23*1000000000000,0))</f>
        <v>LBTY|61515572214</v>
      </c>
    </row>
    <row r="24" customFormat="false" ht="14.25" hidden="false" customHeight="true" outlineLevel="0" collapsed="false">
      <c r="A24" s="36" t="n">
        <v>23</v>
      </c>
      <c r="B24" s="36" t="s">
        <v>176</v>
      </c>
      <c r="C24" s="36" t="s">
        <v>764</v>
      </c>
      <c r="D24" s="36" t="s">
        <v>770</v>
      </c>
      <c r="E24" s="36" t="n">
        <v>-0.65</v>
      </c>
      <c r="F24" s="49" t="n">
        <f aca="false">INDEX(I_prop!$B$7:$H$13, MATCH($C24, I_prop!$A$7:$A$13,0), MATCH($D24, I_prop!$B$6:$H$6,0))</f>
        <v>0</v>
      </c>
      <c r="G24" s="49" t="n">
        <f aca="false">INDEX(I_prop!$B$18:$H$24, MATCH($C24, I_prop!$A$18:$A$24,0), MATCH($D24, I_prop!$B$17:$H$17,0))</f>
        <v>0</v>
      </c>
      <c r="H24" s="49" t="n">
        <f aca="false">IF($J24&lt;&gt;"",$J24,IF($F24&lt;0,MAX(-1,Subgroup_Overrides!$B$7*$F24),$F24))</f>
        <v>0</v>
      </c>
      <c r="I24" s="49" t="n">
        <f aca="false">IF($K24&lt;&gt;"",$K24,IF($G24&lt;0,MAX(-1,Subgroup_Overrides!$B$7*$G24),$G24))</f>
        <v>0</v>
      </c>
      <c r="J24" s="36" t="str">
        <f aca="false">IF(COUNTIF(Subgroup_Overrides!$H$11:$H$100,"A|"&amp;$C24&amp;"|"&amp;$D24)&gt;0,SUMIFS(Subgroup_Overrides!$F$11:$F$100,Subgroup_Overrides!$H$11:$H$100,"A|"&amp;$C24&amp;"|"&amp;$D24),"")</f>
        <v/>
      </c>
      <c r="K24" s="36" t="str">
        <f aca="false">IF(COUNTIF(Subgroup_Overrides!$H$11:$H$100,"B|"&amp;$C24&amp;"|"&amp;$D24)&gt;0,SUMIFS(Subgroup_Overrides!$F$11:$F$100,Subgroup_Overrides!$H$11:$H$100,"B|"&amp;$C24&amp;"|"&amp;$D24),"")</f>
        <v/>
      </c>
      <c r="L24" s="36" t="str">
        <f aca="false">TRIM(B24)</f>
        <v>LBTY</v>
      </c>
      <c r="M24" s="36" t="n">
        <f aca="false">IF($H24="","",1*$H24)</f>
        <v>0</v>
      </c>
      <c r="N24" s="36" t="n">
        <f aca="false">IF($I24="","",1*$I24)</f>
        <v>0</v>
      </c>
      <c r="O24" s="22" t="str">
        <f aca="false">IF($M24="","",$B24&amp;"|"&amp;ROUND($M24*1000000000000,0))</f>
        <v>LBTY|0</v>
      </c>
      <c r="P24" s="22" t="str">
        <f aca="false">IF($N24="","",$B24&amp;"|"&amp;ROUND($N24*1000000000000,0))</f>
        <v>LBTY|0</v>
      </c>
    </row>
    <row r="25" customFormat="false" ht="14.25" hidden="false" customHeight="true" outlineLevel="0" collapsed="false">
      <c r="A25" s="36" t="n">
        <v>24</v>
      </c>
      <c r="B25" s="36" t="s">
        <v>176</v>
      </c>
      <c r="C25" s="36" t="s">
        <v>765</v>
      </c>
      <c r="D25" s="36" t="s">
        <v>770</v>
      </c>
      <c r="E25" s="36" t="n">
        <v>-0.65</v>
      </c>
      <c r="F25" s="49" t="n">
        <f aca="false">INDEX(I_prop!$B$7:$H$13, MATCH($C25, I_prop!$A$7:$A$13,0), MATCH($D25, I_prop!$B$6:$H$6,0))</f>
        <v>0</v>
      </c>
      <c r="G25" s="49" t="n">
        <f aca="false">INDEX(I_prop!$B$18:$H$24, MATCH($C25, I_prop!$A$18:$A$24,0), MATCH($D25, I_prop!$B$17:$H$17,0))</f>
        <v>0</v>
      </c>
      <c r="H25" s="49" t="n">
        <f aca="false">IF($J25&lt;&gt;"",$J25,IF($F25&lt;0,MAX(-1,Subgroup_Overrides!$B$7*$F25),$F25))</f>
        <v>0</v>
      </c>
      <c r="I25" s="49" t="n">
        <f aca="false">IF($K25&lt;&gt;"",$K25,IF($G25&lt;0,MAX(-1,Subgroup_Overrides!$B$7*$G25),$G25))</f>
        <v>0</v>
      </c>
      <c r="J25" s="36" t="str">
        <f aca="false">IF(COUNTIF(Subgroup_Overrides!$H$11:$H$100,"A|"&amp;$C25&amp;"|"&amp;$D25)&gt;0,SUMIFS(Subgroup_Overrides!$F$11:$F$100,Subgroup_Overrides!$H$11:$H$100,"A|"&amp;$C25&amp;"|"&amp;$D25),"")</f>
        <v/>
      </c>
      <c r="K25" s="36" t="str">
        <f aca="false">IF(COUNTIF(Subgroup_Overrides!$H$11:$H$100,"B|"&amp;$C25&amp;"|"&amp;$D25)&gt;0,SUMIFS(Subgroup_Overrides!$F$11:$F$100,Subgroup_Overrides!$H$11:$H$100,"B|"&amp;$C25&amp;"|"&amp;$D25),"")</f>
        <v/>
      </c>
      <c r="L25" s="36" t="str">
        <f aca="false">TRIM(B25)</f>
        <v>LBTY</v>
      </c>
      <c r="M25" s="36" t="n">
        <f aca="false">IF($H25="","",1*$H25)</f>
        <v>0</v>
      </c>
      <c r="N25" s="36" t="n">
        <f aca="false">IF($I25="","",1*$I25)</f>
        <v>0</v>
      </c>
      <c r="O25" s="22" t="str">
        <f aca="false">IF($M25="","",$B25&amp;"|"&amp;ROUND($M25*1000000000000,0))</f>
        <v>LBTY|0</v>
      </c>
      <c r="P25" s="22" t="str">
        <f aca="false">IF($N25="","",$B25&amp;"|"&amp;ROUND($N25*1000000000000,0))</f>
        <v>LBTY|0</v>
      </c>
    </row>
    <row r="26" customFormat="false" ht="14.25" hidden="false" customHeight="true" outlineLevel="0" collapsed="false">
      <c r="A26" s="36" t="n">
        <v>25</v>
      </c>
      <c r="B26" s="36" t="s">
        <v>176</v>
      </c>
      <c r="C26" s="36" t="s">
        <v>766</v>
      </c>
      <c r="D26" s="36" t="s">
        <v>770</v>
      </c>
      <c r="E26" s="36" t="n">
        <v>-0.65</v>
      </c>
      <c r="F26" s="49" t="n">
        <f aca="false">INDEX(I_prop!$B$7:$H$13, MATCH($C26, I_prop!$A$7:$A$13,0), MATCH($D26, I_prop!$B$6:$H$6,0))</f>
        <v>0</v>
      </c>
      <c r="G26" s="49" t="n">
        <f aca="false">INDEX(I_prop!$B$18:$H$24, MATCH($C26, I_prop!$A$18:$A$24,0), MATCH($D26, I_prop!$B$17:$H$17,0))</f>
        <v>0</v>
      </c>
      <c r="H26" s="49" t="n">
        <f aca="false">IF($J26&lt;&gt;"",$J26,IF($F26&lt;0,MAX(-1,Subgroup_Overrides!$B$7*$F26),$F26))</f>
        <v>0</v>
      </c>
      <c r="I26" s="49" t="n">
        <f aca="false">IF($K26&lt;&gt;"",$K26,IF($G26&lt;0,MAX(-1,Subgroup_Overrides!$B$7*$G26),$G26))</f>
        <v>0</v>
      </c>
      <c r="J26" s="36" t="str">
        <f aca="false">IF(COUNTIF(Subgroup_Overrides!$H$11:$H$100,"A|"&amp;$C26&amp;"|"&amp;$D26)&gt;0,SUMIFS(Subgroup_Overrides!$F$11:$F$100,Subgroup_Overrides!$H$11:$H$100,"A|"&amp;$C26&amp;"|"&amp;$D26),"")</f>
        <v/>
      </c>
      <c r="K26" s="36" t="str">
        <f aca="false">IF(COUNTIF(Subgroup_Overrides!$H$11:$H$100,"B|"&amp;$C26&amp;"|"&amp;$D26)&gt;0,SUMIFS(Subgroup_Overrides!$F$11:$F$100,Subgroup_Overrides!$H$11:$H$100,"B|"&amp;$C26&amp;"|"&amp;$D26),"")</f>
        <v/>
      </c>
      <c r="L26" s="36" t="str">
        <f aca="false">TRIM(B26)</f>
        <v>LBTY</v>
      </c>
      <c r="M26" s="36" t="n">
        <f aca="false">IF($H26="","",1*$H26)</f>
        <v>0</v>
      </c>
      <c r="N26" s="36" t="n">
        <f aca="false">IF($I26="","",1*$I26)</f>
        <v>0</v>
      </c>
      <c r="O26" s="22" t="str">
        <f aca="false">IF($M26="","",$B26&amp;"|"&amp;ROUND($M26*1000000000000,0))</f>
        <v>LBTY|0</v>
      </c>
      <c r="P26" s="22" t="str">
        <f aca="false">IF($N26="","",$B26&amp;"|"&amp;ROUND($N26*1000000000000,0))</f>
        <v>LBTY|0</v>
      </c>
    </row>
    <row r="27" customFormat="false" ht="14.25" hidden="false" customHeight="true" outlineLevel="0" collapsed="false">
      <c r="A27" s="36" t="n">
        <v>26</v>
      </c>
      <c r="B27" s="36" t="s">
        <v>177</v>
      </c>
      <c r="C27" s="36" t="s">
        <v>760</v>
      </c>
      <c r="D27" s="36" t="s">
        <v>771</v>
      </c>
      <c r="E27" s="36" t="n">
        <v>-0.5</v>
      </c>
      <c r="F27" s="49" t="n">
        <f aca="false">INDEX(I_prop!$B$7:$H$13, MATCH($C27, I_prop!$A$7:$A$13,0), MATCH($D27, I_prop!$B$6:$H$6,0))</f>
        <v>0</v>
      </c>
      <c r="G27" s="49" t="n">
        <f aca="false">INDEX(I_prop!$B$18:$H$24, MATCH($C27, I_prop!$A$18:$A$24,0), MATCH($D27, I_prop!$B$17:$H$17,0))</f>
        <v>0</v>
      </c>
      <c r="H27" s="49" t="n">
        <f aca="false">IF($J27&lt;&gt;"",$J27,IF($F27&lt;0,MAX(-1,Subgroup_Overrides!$B$7*$F27),$F27))</f>
        <v>0</v>
      </c>
      <c r="I27" s="49" t="n">
        <f aca="false">IF($K27&lt;&gt;"",$K27,IF($G27&lt;0,MAX(-1,Subgroup_Overrides!$B$7*$G27),$G27))</f>
        <v>0</v>
      </c>
      <c r="J27" s="36" t="str">
        <f aca="false">IF(COUNTIF(Subgroup_Overrides!$H$11:$H$100,"A|"&amp;$C27&amp;"|"&amp;$D27)&gt;0,SUMIFS(Subgroup_Overrides!$F$11:$F$100,Subgroup_Overrides!$H$11:$H$100,"A|"&amp;$C27&amp;"|"&amp;$D27),"")</f>
        <v/>
      </c>
      <c r="K27" s="36" t="str">
        <f aca="false">IF(COUNTIF(Subgroup_Overrides!$H$11:$H$100,"B|"&amp;$C27&amp;"|"&amp;$D27)&gt;0,SUMIFS(Subgroup_Overrides!$F$11:$F$100,Subgroup_Overrides!$H$11:$H$100,"B|"&amp;$C27&amp;"|"&amp;$D27),"")</f>
        <v/>
      </c>
      <c r="L27" s="36" t="str">
        <f aca="false">TRIM(B27)</f>
        <v>NEED</v>
      </c>
      <c r="M27" s="36" t="n">
        <f aca="false">IF($H27="","",1*$H27)</f>
        <v>0</v>
      </c>
      <c r="N27" s="36" t="n">
        <f aca="false">IF($I27="","",1*$I27)</f>
        <v>0</v>
      </c>
      <c r="O27" s="22" t="str">
        <f aca="false">IF($M27="","",$B27&amp;"|"&amp;ROUND($M27*1000000000000,0))</f>
        <v>NEED|0</v>
      </c>
      <c r="P27" s="22" t="str">
        <f aca="false">IF($N27="","",$B27&amp;"|"&amp;ROUND($N27*1000000000000,0))</f>
        <v>NEED|0</v>
      </c>
    </row>
    <row r="28" customFormat="false" ht="14.25" hidden="false" customHeight="true" outlineLevel="0" collapsed="false">
      <c r="A28" s="36" t="n">
        <v>27</v>
      </c>
      <c r="B28" s="36" t="s">
        <v>177</v>
      </c>
      <c r="C28" s="36" t="s">
        <v>760</v>
      </c>
      <c r="D28" s="36" t="s">
        <v>761</v>
      </c>
      <c r="E28" s="36" t="n">
        <v>-0.5</v>
      </c>
      <c r="F28" s="49" t="n">
        <f aca="false">INDEX(I_prop!$B$7:$H$13, MATCH($C28, I_prop!$A$7:$A$13,0), MATCH($D28, I_prop!$B$6:$H$6,0))</f>
        <v>0</v>
      </c>
      <c r="G28" s="49" t="n">
        <f aca="false">INDEX(I_prop!$B$18:$H$24, MATCH($C28, I_prop!$A$18:$A$24,0), MATCH($D28, I_prop!$B$17:$H$17,0))</f>
        <v>0</v>
      </c>
      <c r="H28" s="49" t="n">
        <f aca="false">IF($J28&lt;&gt;"",$J28,IF($F28&lt;0,MAX(-1,Subgroup_Overrides!$B$7*$F28),$F28))</f>
        <v>0</v>
      </c>
      <c r="I28" s="49" t="n">
        <f aca="false">IF($K28&lt;&gt;"",$K28,IF($G28&lt;0,MAX(-1,Subgroup_Overrides!$B$7*$G28),$G28))</f>
        <v>0</v>
      </c>
      <c r="J28" s="36" t="str">
        <f aca="false">IF(COUNTIF(Subgroup_Overrides!$H$11:$H$100,"A|"&amp;$C28&amp;"|"&amp;$D28)&gt;0,SUMIFS(Subgroup_Overrides!$F$11:$F$100,Subgroup_Overrides!$H$11:$H$100,"A|"&amp;$C28&amp;"|"&amp;$D28),"")</f>
        <v/>
      </c>
      <c r="K28" s="36" t="str">
        <f aca="false">IF(COUNTIF(Subgroup_Overrides!$H$11:$H$100,"B|"&amp;$C28&amp;"|"&amp;$D28)&gt;0,SUMIFS(Subgroup_Overrides!$F$11:$F$100,Subgroup_Overrides!$H$11:$H$100,"B|"&amp;$C28&amp;"|"&amp;$D28),"")</f>
        <v/>
      </c>
      <c r="L28" s="36" t="str">
        <f aca="false">TRIM(B28)</f>
        <v>NEED</v>
      </c>
      <c r="M28" s="36" t="n">
        <f aca="false">IF($H28="","",1*$H28)</f>
        <v>0</v>
      </c>
      <c r="N28" s="36" t="n">
        <f aca="false">IF($I28="","",1*$I28)</f>
        <v>0</v>
      </c>
      <c r="O28" s="22" t="str">
        <f aca="false">IF($M28="","",$B28&amp;"|"&amp;ROUND($M28*1000000000000,0))</f>
        <v>NEED|0</v>
      </c>
      <c r="P28" s="22" t="str">
        <f aca="false">IF($N28="","",$B28&amp;"|"&amp;ROUND($N28*1000000000000,0))</f>
        <v>NEED|0</v>
      </c>
    </row>
    <row r="29" customFormat="false" ht="14.25" hidden="false" customHeight="true" outlineLevel="0" collapsed="false">
      <c r="A29" s="36" t="n">
        <v>28</v>
      </c>
      <c r="B29" s="36" t="s">
        <v>177</v>
      </c>
      <c r="C29" s="36" t="s">
        <v>762</v>
      </c>
      <c r="D29" s="36" t="s">
        <v>771</v>
      </c>
      <c r="E29" s="36" t="n">
        <v>-0.5</v>
      </c>
      <c r="F29" s="49" t="n">
        <f aca="false">INDEX(I_prop!$B$7:$H$13, MATCH($C29, I_prop!$A$7:$A$13,0), MATCH($D29, I_prop!$B$6:$H$6,0))</f>
        <v>0.0461621762340888</v>
      </c>
      <c r="G29" s="49" t="n">
        <f aca="false">INDEX(I_prop!$B$18:$H$24, MATCH($C29, I_prop!$A$18:$A$24,0), MATCH($D29, I_prop!$B$17:$H$17,0))</f>
        <v>-0.0184759004375379</v>
      </c>
      <c r="H29" s="49" t="n">
        <f aca="false">IF($J29&lt;&gt;"",$J29,IF($F29&lt;0,MAX(-1,Subgroup_Overrides!$B$7*$F29),$F29))</f>
        <v>0.0461621762340888</v>
      </c>
      <c r="I29" s="49" t="n">
        <f aca="false">IF($K29&lt;&gt;"",$K29,IF($G29&lt;0,MAX(-1,Subgroup_Overrides!$B$7*$G29),$G29))</f>
        <v>-0.12</v>
      </c>
      <c r="J29" s="36" t="str">
        <f aca="false">IF(COUNTIF(Subgroup_Overrides!$H$11:$H$100,"A|"&amp;$C29&amp;"|"&amp;$D29)&gt;0,SUMIFS(Subgroup_Overrides!$F$11:$F$100,Subgroup_Overrides!$H$11:$H$100,"A|"&amp;$C29&amp;"|"&amp;$D29),"")</f>
        <v/>
      </c>
      <c r="K29" s="36" t="n">
        <f aca="false">IF(COUNTIF(Subgroup_Overrides!$H$11:$H$100,"B|"&amp;$C29&amp;"|"&amp;$D29)&gt;0,SUMIFS(Subgroup_Overrides!$F$11:$F$100,Subgroup_Overrides!$H$11:$H$100,"B|"&amp;$C29&amp;"|"&amp;$D29),"")</f>
        <v>-0.12</v>
      </c>
      <c r="L29" s="36" t="str">
        <f aca="false">TRIM(B29)</f>
        <v>NEED</v>
      </c>
      <c r="M29" s="36" t="n">
        <f aca="false">IF($H29="","",1*$H29)</f>
        <v>0.0461621762340888</v>
      </c>
      <c r="N29" s="36" t="n">
        <f aca="false">IF($I29="","",1*$I29)</f>
        <v>-0.12</v>
      </c>
      <c r="O29" s="22" t="str">
        <f aca="false">IF($M29="","",$B29&amp;"|"&amp;ROUND($M29*1000000000000,0))</f>
        <v>NEED|46162176234</v>
      </c>
      <c r="P29" s="22" t="str">
        <f aca="false">IF($N29="","",$B29&amp;"|"&amp;ROUND($N29*1000000000000,0))</f>
        <v>NEED|-120000000000</v>
      </c>
    </row>
    <row r="30" customFormat="false" ht="14.25" hidden="false" customHeight="true" outlineLevel="0" collapsed="false">
      <c r="A30" s="36" t="n">
        <v>29</v>
      </c>
      <c r="B30" s="36" t="s">
        <v>177</v>
      </c>
      <c r="C30" s="36" t="s">
        <v>762</v>
      </c>
      <c r="D30" s="36" t="s">
        <v>761</v>
      </c>
      <c r="E30" s="36" t="n">
        <v>-0.5</v>
      </c>
      <c r="F30" s="49" t="n">
        <f aca="false">INDEX(I_prop!$B$7:$H$13, MATCH($C30, I_prop!$A$7:$A$13,0), MATCH($D30, I_prop!$B$6:$H$6,0))</f>
        <v>0</v>
      </c>
      <c r="G30" s="49" t="n">
        <f aca="false">INDEX(I_prop!$B$18:$H$24, MATCH($C30, I_prop!$A$18:$A$24,0), MATCH($D30, I_prop!$B$17:$H$17,0))</f>
        <v>0</v>
      </c>
      <c r="H30" s="49" t="n">
        <f aca="false">IF($J30&lt;&gt;"",$J30,IF($F30&lt;0,MAX(-1,Subgroup_Overrides!$B$7*$F30),$F30))</f>
        <v>0</v>
      </c>
      <c r="I30" s="49" t="n">
        <f aca="false">IF($K30&lt;&gt;"",$K30,IF($G30&lt;0,MAX(-1,Subgroup_Overrides!$B$7*$G30),$G30))</f>
        <v>0</v>
      </c>
      <c r="J30" s="36" t="str">
        <f aca="false">IF(COUNTIF(Subgroup_Overrides!$H$11:$H$100,"A|"&amp;$C30&amp;"|"&amp;$D30)&gt;0,SUMIFS(Subgroup_Overrides!$F$11:$F$100,Subgroup_Overrides!$H$11:$H$100,"A|"&amp;$C30&amp;"|"&amp;$D30),"")</f>
        <v/>
      </c>
      <c r="K30" s="36" t="str">
        <f aca="false">IF(COUNTIF(Subgroup_Overrides!$H$11:$H$100,"B|"&amp;$C30&amp;"|"&amp;$D30)&gt;0,SUMIFS(Subgroup_Overrides!$F$11:$F$100,Subgroup_Overrides!$H$11:$H$100,"B|"&amp;$C30&amp;"|"&amp;$D30),"")</f>
        <v/>
      </c>
      <c r="L30" s="36" t="str">
        <f aca="false">TRIM(B30)</f>
        <v>NEED</v>
      </c>
      <c r="M30" s="36" t="n">
        <f aca="false">IF($H30="","",1*$H30)</f>
        <v>0</v>
      </c>
      <c r="N30" s="36" t="n">
        <f aca="false">IF($I30="","",1*$I30)</f>
        <v>0</v>
      </c>
      <c r="O30" s="22" t="str">
        <f aca="false">IF($M30="","",$B30&amp;"|"&amp;ROUND($M30*1000000000000,0))</f>
        <v>NEED|0</v>
      </c>
      <c r="P30" s="22" t="str">
        <f aca="false">IF($N30="","",$B30&amp;"|"&amp;ROUND($N30*1000000000000,0))</f>
        <v>NEED|0</v>
      </c>
    </row>
    <row r="31" customFormat="false" ht="14.25" hidden="false" customHeight="true" outlineLevel="0" collapsed="false">
      <c r="A31" s="36" t="n">
        <v>30</v>
      </c>
      <c r="B31" s="36" t="s">
        <v>177</v>
      </c>
      <c r="C31" s="36" t="s">
        <v>763</v>
      </c>
      <c r="D31" s="36" t="s">
        <v>771</v>
      </c>
      <c r="E31" s="36" t="n">
        <v>-0.5</v>
      </c>
      <c r="F31" s="49" t="n">
        <f aca="false">INDEX(I_prop!$B$7:$H$13, MATCH($C31, I_prop!$A$7:$A$13,0), MATCH($D31, I_prop!$B$6:$H$6,0))</f>
        <v>-0.0197952743221616</v>
      </c>
      <c r="G31" s="49" t="n">
        <f aca="false">INDEX(I_prop!$B$18:$H$24, MATCH($C31, I_prop!$A$18:$A$24,0), MATCH($D31, I_prop!$B$17:$H$17,0))</f>
        <v>0.0131978073405774</v>
      </c>
      <c r="H31" s="49" t="n">
        <f aca="false">IF($J31&lt;&gt;"",$J31,IF($F31&lt;0,MAX(-1,Subgroup_Overrides!$B$7*$F31),$F31))</f>
        <v>-0.2</v>
      </c>
      <c r="I31" s="49" t="n">
        <f aca="false">IF($K31&lt;&gt;"",$K31,IF($G31&lt;0,MAX(-1,Subgroup_Overrides!$B$7*$G31),$G31))</f>
        <v>0.0131978073405774</v>
      </c>
      <c r="J31" s="36" t="n">
        <f aca="false">IF(COUNTIF(Subgroup_Overrides!$H$11:$H$100,"A|"&amp;$C31&amp;"|"&amp;$D31)&gt;0,SUMIFS(Subgroup_Overrides!$F$11:$F$100,Subgroup_Overrides!$H$11:$H$100,"A|"&amp;$C31&amp;"|"&amp;$D31),"")</f>
        <v>-0.2</v>
      </c>
      <c r="K31" s="36" t="str">
        <f aca="false">IF(COUNTIF(Subgroup_Overrides!$H$11:$H$100,"B|"&amp;$C31&amp;"|"&amp;$D31)&gt;0,SUMIFS(Subgroup_Overrides!$F$11:$F$100,Subgroup_Overrides!$H$11:$H$100,"B|"&amp;$C31&amp;"|"&amp;$D31),"")</f>
        <v/>
      </c>
      <c r="L31" s="36" t="str">
        <f aca="false">TRIM(B31)</f>
        <v>NEED</v>
      </c>
      <c r="M31" s="36" t="n">
        <f aca="false">IF($H31="","",1*$H31)</f>
        <v>-0.2</v>
      </c>
      <c r="N31" s="36" t="n">
        <f aca="false">IF($I31="","",1*$I31)</f>
        <v>0.0131978073405774</v>
      </c>
      <c r="O31" s="22" t="str">
        <f aca="false">IF($M31="","",$B31&amp;"|"&amp;ROUND($M31*1000000000000,0))</f>
        <v>NEED|-200000000000</v>
      </c>
      <c r="P31" s="22" t="str">
        <f aca="false">IF($N31="","",$B31&amp;"|"&amp;ROUND($N31*1000000000000,0))</f>
        <v>NEED|13197807341</v>
      </c>
    </row>
    <row r="32" customFormat="false" ht="14.25" hidden="false" customHeight="true" outlineLevel="0" collapsed="false">
      <c r="A32" s="36" t="n">
        <v>31</v>
      </c>
      <c r="B32" s="36" t="s">
        <v>177</v>
      </c>
      <c r="C32" s="36" t="s">
        <v>763</v>
      </c>
      <c r="D32" s="36" t="s">
        <v>761</v>
      </c>
      <c r="E32" s="36" t="n">
        <v>-0.5</v>
      </c>
      <c r="F32" s="49" t="n">
        <f aca="false">INDEX(I_prop!$B$7:$H$13, MATCH($C32, I_prop!$A$7:$A$13,0), MATCH($D32, I_prop!$B$6:$H$6,0))</f>
        <v>0</v>
      </c>
      <c r="G32" s="49" t="n">
        <f aca="false">INDEX(I_prop!$B$18:$H$24, MATCH($C32, I_prop!$A$18:$A$24,0), MATCH($D32, I_prop!$B$17:$H$17,0))</f>
        <v>0</v>
      </c>
      <c r="H32" s="49" t="n">
        <f aca="false">IF($J32&lt;&gt;"",$J32,IF($F32&lt;0,MAX(-1,Subgroup_Overrides!$B$7*$F32),$F32))</f>
        <v>0</v>
      </c>
      <c r="I32" s="49" t="n">
        <f aca="false">IF($K32&lt;&gt;"",$K32,IF($G32&lt;0,MAX(-1,Subgroup_Overrides!$B$7*$G32),$G32))</f>
        <v>0</v>
      </c>
      <c r="J32" s="36" t="str">
        <f aca="false">IF(COUNTIF(Subgroup_Overrides!$H$11:$H$100,"A|"&amp;$C32&amp;"|"&amp;$D32)&gt;0,SUMIFS(Subgroup_Overrides!$F$11:$F$100,Subgroup_Overrides!$H$11:$H$100,"A|"&amp;$C32&amp;"|"&amp;$D32),"")</f>
        <v/>
      </c>
      <c r="K32" s="36" t="str">
        <f aca="false">IF(COUNTIF(Subgroup_Overrides!$H$11:$H$100,"B|"&amp;$C32&amp;"|"&amp;$D32)&gt;0,SUMIFS(Subgroup_Overrides!$F$11:$F$100,Subgroup_Overrides!$H$11:$H$100,"B|"&amp;$C32&amp;"|"&amp;$D32),"")</f>
        <v/>
      </c>
      <c r="L32" s="36" t="str">
        <f aca="false">TRIM(B32)</f>
        <v>NEED</v>
      </c>
      <c r="M32" s="36" t="n">
        <f aca="false">IF($H32="","",1*$H32)</f>
        <v>0</v>
      </c>
      <c r="N32" s="36" t="n">
        <f aca="false">IF($I32="","",1*$I32)</f>
        <v>0</v>
      </c>
      <c r="O32" s="22" t="str">
        <f aca="false">IF($M32="","",$B32&amp;"|"&amp;ROUND($M32*1000000000000,0))</f>
        <v>NEED|0</v>
      </c>
      <c r="P32" s="22" t="str">
        <f aca="false">IF($N32="","",$B32&amp;"|"&amp;ROUND($N32*1000000000000,0))</f>
        <v>NEED|0</v>
      </c>
    </row>
    <row r="33" customFormat="false" ht="14.25" hidden="false" customHeight="true" outlineLevel="0" collapsed="false">
      <c r="A33" s="36" t="n">
        <v>32</v>
      </c>
      <c r="B33" s="36" t="s">
        <v>177</v>
      </c>
      <c r="C33" s="36" t="s">
        <v>764</v>
      </c>
      <c r="D33" s="36" t="s">
        <v>771</v>
      </c>
      <c r="E33" s="36" t="n">
        <v>-0.5</v>
      </c>
      <c r="F33" s="49" t="n">
        <f aca="false">INDEX(I_prop!$B$7:$H$13, MATCH($C33, I_prop!$A$7:$A$13,0), MATCH($D33, I_prop!$B$6:$H$6,0))</f>
        <v>-0.0855694362958967</v>
      </c>
      <c r="G33" s="49" t="n">
        <f aca="false">INDEX(I_prop!$B$18:$H$24, MATCH($C33, I_prop!$A$18:$A$24,0), MATCH($D33, I_prop!$B$17:$H$17,0))</f>
        <v>0.0102114556191722</v>
      </c>
      <c r="H33" s="49" t="n">
        <f aca="false">IF($J33&lt;&gt;"",$J33,IF($F33&lt;0,MAX(-1,Subgroup_Overrides!$B$7*$F33),$F33))</f>
        <v>-0.3</v>
      </c>
      <c r="I33" s="49" t="n">
        <f aca="false">IF($K33&lt;&gt;"",$K33,IF($G33&lt;0,MAX(-1,Subgroup_Overrides!$B$7*$G33),$G33))</f>
        <v>0.0102114556191722</v>
      </c>
      <c r="J33" s="36" t="n">
        <f aca="false">IF(COUNTIF(Subgroup_Overrides!$H$11:$H$100,"A|"&amp;$C33&amp;"|"&amp;$D33)&gt;0,SUMIFS(Subgroup_Overrides!$F$11:$F$100,Subgroup_Overrides!$H$11:$H$100,"A|"&amp;$C33&amp;"|"&amp;$D33),"")</f>
        <v>-0.3</v>
      </c>
      <c r="K33" s="36" t="str">
        <f aca="false">IF(COUNTIF(Subgroup_Overrides!$H$11:$H$100,"B|"&amp;$C33&amp;"|"&amp;$D33)&gt;0,SUMIFS(Subgroup_Overrides!$F$11:$F$100,Subgroup_Overrides!$H$11:$H$100,"B|"&amp;$C33&amp;"|"&amp;$D33),"")</f>
        <v/>
      </c>
      <c r="L33" s="36" t="str">
        <f aca="false">TRIM(B33)</f>
        <v>NEED</v>
      </c>
      <c r="M33" s="36" t="n">
        <f aca="false">IF($H33="","",1*$H33)</f>
        <v>-0.3</v>
      </c>
      <c r="N33" s="36" t="n">
        <f aca="false">IF($I33="","",1*$I33)</f>
        <v>0.0102114556191722</v>
      </c>
      <c r="O33" s="22" t="str">
        <f aca="false">IF($M33="","",$B33&amp;"|"&amp;ROUND($M33*1000000000000,0))</f>
        <v>NEED|-300000000000</v>
      </c>
      <c r="P33" s="22" t="str">
        <f aca="false">IF($N33="","",$B33&amp;"|"&amp;ROUND($N33*1000000000000,0))</f>
        <v>NEED|10211455619</v>
      </c>
    </row>
    <row r="34" customFormat="false" ht="14.25" hidden="false" customHeight="true" outlineLevel="0" collapsed="false">
      <c r="A34" s="36" t="n">
        <v>33</v>
      </c>
      <c r="B34" s="36" t="s">
        <v>177</v>
      </c>
      <c r="C34" s="36" t="s">
        <v>764</v>
      </c>
      <c r="D34" s="36" t="s">
        <v>761</v>
      </c>
      <c r="E34" s="36" t="n">
        <v>-0.5</v>
      </c>
      <c r="F34" s="49" t="n">
        <f aca="false">INDEX(I_prop!$B$7:$H$13, MATCH($C34, I_prop!$A$7:$A$13,0), MATCH($D34, I_prop!$B$6:$H$6,0))</f>
        <v>0</v>
      </c>
      <c r="G34" s="49" t="n">
        <f aca="false">INDEX(I_prop!$B$18:$H$24, MATCH($C34, I_prop!$A$18:$A$24,0), MATCH($D34, I_prop!$B$17:$H$17,0))</f>
        <v>0</v>
      </c>
      <c r="H34" s="49" t="n">
        <f aca="false">IF($J34&lt;&gt;"",$J34,IF($F34&lt;0,MAX(-1,Subgroup_Overrides!$B$7*$F34),$F34))</f>
        <v>0</v>
      </c>
      <c r="I34" s="49" t="n">
        <f aca="false">IF($K34&lt;&gt;"",$K34,IF($G34&lt;0,MAX(-1,Subgroup_Overrides!$B$7*$G34),$G34))</f>
        <v>0</v>
      </c>
      <c r="J34" s="36" t="str">
        <f aca="false">IF(COUNTIF(Subgroup_Overrides!$H$11:$H$100,"A|"&amp;$C34&amp;"|"&amp;$D34)&gt;0,SUMIFS(Subgroup_Overrides!$F$11:$F$100,Subgroup_Overrides!$H$11:$H$100,"A|"&amp;$C34&amp;"|"&amp;$D34),"")</f>
        <v/>
      </c>
      <c r="K34" s="36" t="str">
        <f aca="false">IF(COUNTIF(Subgroup_Overrides!$H$11:$H$100,"B|"&amp;$C34&amp;"|"&amp;$D34)&gt;0,SUMIFS(Subgroup_Overrides!$F$11:$F$100,Subgroup_Overrides!$H$11:$H$100,"B|"&amp;$C34&amp;"|"&amp;$D34),"")</f>
        <v/>
      </c>
      <c r="L34" s="36" t="str">
        <f aca="false">TRIM(B34)</f>
        <v>NEED</v>
      </c>
      <c r="M34" s="36" t="n">
        <f aca="false">IF($H34="","",1*$H34)</f>
        <v>0</v>
      </c>
      <c r="N34" s="36" t="n">
        <f aca="false">IF($I34="","",1*$I34)</f>
        <v>0</v>
      </c>
      <c r="O34" s="22" t="str">
        <f aca="false">IF($M34="","",$B34&amp;"|"&amp;ROUND($M34*1000000000000,0))</f>
        <v>NEED|0</v>
      </c>
      <c r="P34" s="22" t="str">
        <f aca="false">IF($N34="","",$B34&amp;"|"&amp;ROUND($N34*1000000000000,0))</f>
        <v>NEED|0</v>
      </c>
    </row>
    <row r="35" customFormat="false" ht="14.25" hidden="false" customHeight="true" outlineLevel="0" collapsed="false">
      <c r="A35" s="36" t="n">
        <v>34</v>
      </c>
      <c r="B35" s="36" t="s">
        <v>177</v>
      </c>
      <c r="C35" s="36" t="s">
        <v>765</v>
      </c>
      <c r="D35" s="36" t="s">
        <v>771</v>
      </c>
      <c r="E35" s="36" t="n">
        <v>-0.5</v>
      </c>
      <c r="F35" s="49" t="n">
        <f aca="false">INDEX(I_prop!$B$7:$H$13, MATCH($C35, I_prop!$A$7:$A$13,0), MATCH($D35, I_prop!$B$6:$H$6,0))</f>
        <v>0</v>
      </c>
      <c r="G35" s="49" t="n">
        <f aca="false">INDEX(I_prop!$B$18:$H$24, MATCH($C35, I_prop!$A$18:$A$24,0), MATCH($D35, I_prop!$B$17:$H$17,0))</f>
        <v>0</v>
      </c>
      <c r="H35" s="49" t="n">
        <f aca="false">IF($J35&lt;&gt;"",$J35,IF($F35&lt;0,MAX(-1,Subgroup_Overrides!$B$7*$F35),$F35))</f>
        <v>0</v>
      </c>
      <c r="I35" s="49" t="n">
        <f aca="false">IF($K35&lt;&gt;"",$K35,IF($G35&lt;0,MAX(-1,Subgroup_Overrides!$B$7*$G35),$G35))</f>
        <v>0</v>
      </c>
      <c r="J35" s="36" t="str">
        <f aca="false">IF(COUNTIF(Subgroup_Overrides!$H$11:$H$100,"A|"&amp;$C35&amp;"|"&amp;$D35)&gt;0,SUMIFS(Subgroup_Overrides!$F$11:$F$100,Subgroup_Overrides!$H$11:$H$100,"A|"&amp;$C35&amp;"|"&amp;$D35),"")</f>
        <v/>
      </c>
      <c r="K35" s="36" t="str">
        <f aca="false">IF(COUNTIF(Subgroup_Overrides!$H$11:$H$100,"B|"&amp;$C35&amp;"|"&amp;$D35)&gt;0,SUMIFS(Subgroup_Overrides!$F$11:$F$100,Subgroup_Overrides!$H$11:$H$100,"B|"&amp;$C35&amp;"|"&amp;$D35),"")</f>
        <v/>
      </c>
      <c r="L35" s="36" t="str">
        <f aca="false">TRIM(B35)</f>
        <v>NEED</v>
      </c>
      <c r="M35" s="36" t="n">
        <f aca="false">IF($H35="","",1*$H35)</f>
        <v>0</v>
      </c>
      <c r="N35" s="36" t="n">
        <f aca="false">IF($I35="","",1*$I35)</f>
        <v>0</v>
      </c>
      <c r="O35" s="22" t="str">
        <f aca="false">IF($M35="","",$B35&amp;"|"&amp;ROUND($M35*1000000000000,0))</f>
        <v>NEED|0</v>
      </c>
      <c r="P35" s="22" t="str">
        <f aca="false">IF($N35="","",$B35&amp;"|"&amp;ROUND($N35*1000000000000,0))</f>
        <v>NEED|0</v>
      </c>
    </row>
    <row r="36" customFormat="false" ht="14.25" hidden="false" customHeight="true" outlineLevel="0" collapsed="false">
      <c r="A36" s="36" t="n">
        <v>35</v>
      </c>
      <c r="B36" s="36" t="s">
        <v>177</v>
      </c>
      <c r="C36" s="36" t="s">
        <v>765</v>
      </c>
      <c r="D36" s="36" t="s">
        <v>761</v>
      </c>
      <c r="E36" s="36" t="n">
        <v>-0.5</v>
      </c>
      <c r="F36" s="49" t="n">
        <f aca="false">INDEX(I_prop!$B$7:$H$13, MATCH($C36, I_prop!$A$7:$A$13,0), MATCH($D36, I_prop!$B$6:$H$6,0))</f>
        <v>0</v>
      </c>
      <c r="G36" s="49" t="n">
        <f aca="false">INDEX(I_prop!$B$18:$H$24, MATCH($C36, I_prop!$A$18:$A$24,0), MATCH($D36, I_prop!$B$17:$H$17,0))</f>
        <v>0</v>
      </c>
      <c r="H36" s="49" t="n">
        <f aca="false">IF($J36&lt;&gt;"",$J36,IF($F36&lt;0,MAX(-1,Subgroup_Overrides!$B$7*$F36),$F36))</f>
        <v>0</v>
      </c>
      <c r="I36" s="49" t="n">
        <f aca="false">IF($K36&lt;&gt;"",$K36,IF($G36&lt;0,MAX(-1,Subgroup_Overrides!$B$7*$G36),$G36))</f>
        <v>0</v>
      </c>
      <c r="J36" s="36" t="str">
        <f aca="false">IF(COUNTIF(Subgroup_Overrides!$H$11:$H$100,"A|"&amp;$C36&amp;"|"&amp;$D36)&gt;0,SUMIFS(Subgroup_Overrides!$F$11:$F$100,Subgroup_Overrides!$H$11:$H$100,"A|"&amp;$C36&amp;"|"&amp;$D36),"")</f>
        <v/>
      </c>
      <c r="K36" s="36" t="str">
        <f aca="false">IF(COUNTIF(Subgroup_Overrides!$H$11:$H$100,"B|"&amp;$C36&amp;"|"&amp;$D36)&gt;0,SUMIFS(Subgroup_Overrides!$F$11:$F$100,Subgroup_Overrides!$H$11:$H$100,"B|"&amp;$C36&amp;"|"&amp;$D36),"")</f>
        <v/>
      </c>
      <c r="L36" s="36" t="str">
        <f aca="false">TRIM(B36)</f>
        <v>NEED</v>
      </c>
      <c r="M36" s="36" t="n">
        <f aca="false">IF($H36="","",1*$H36)</f>
        <v>0</v>
      </c>
      <c r="N36" s="36" t="n">
        <f aca="false">IF($I36="","",1*$I36)</f>
        <v>0</v>
      </c>
      <c r="O36" s="22" t="str">
        <f aca="false">IF($M36="","",$B36&amp;"|"&amp;ROUND($M36*1000000000000,0))</f>
        <v>NEED|0</v>
      </c>
      <c r="P36" s="22" t="str">
        <f aca="false">IF($N36="","",$B36&amp;"|"&amp;ROUND($N36*1000000000000,0))</f>
        <v>NEED|0</v>
      </c>
    </row>
    <row r="37" customFormat="false" ht="14.25" hidden="false" customHeight="true" outlineLevel="0" collapsed="false">
      <c r="A37" s="36" t="n">
        <v>36</v>
      </c>
      <c r="B37" s="36" t="s">
        <v>177</v>
      </c>
      <c r="C37" s="36" t="s">
        <v>766</v>
      </c>
      <c r="D37" s="36" t="s">
        <v>771</v>
      </c>
      <c r="E37" s="36" t="n">
        <v>-0.5</v>
      </c>
      <c r="F37" s="49" t="n">
        <f aca="false">INDEX(I_prop!$B$7:$H$13, MATCH($C37, I_prop!$A$7:$A$13,0), MATCH($D37, I_prop!$B$6:$H$6,0))</f>
        <v>0</v>
      </c>
      <c r="G37" s="49" t="n">
        <f aca="false">INDEX(I_prop!$B$18:$H$24, MATCH($C37, I_prop!$A$18:$A$24,0), MATCH($D37, I_prop!$B$17:$H$17,0))</f>
        <v>0</v>
      </c>
      <c r="H37" s="49" t="n">
        <f aca="false">IF($J37&lt;&gt;"",$J37,IF($F37&lt;0,MAX(-1,Subgroup_Overrides!$B$7*$F37),$F37))</f>
        <v>0</v>
      </c>
      <c r="I37" s="49" t="n">
        <f aca="false">IF($K37&lt;&gt;"",$K37,IF($G37&lt;0,MAX(-1,Subgroup_Overrides!$B$7*$G37),$G37))</f>
        <v>0</v>
      </c>
      <c r="J37" s="36" t="str">
        <f aca="false">IF(COUNTIF(Subgroup_Overrides!$H$11:$H$100,"A|"&amp;$C37&amp;"|"&amp;$D37)&gt;0,SUMIFS(Subgroup_Overrides!$F$11:$F$100,Subgroup_Overrides!$H$11:$H$100,"A|"&amp;$C37&amp;"|"&amp;$D37),"")</f>
        <v/>
      </c>
      <c r="K37" s="36" t="str">
        <f aca="false">IF(COUNTIF(Subgroup_Overrides!$H$11:$H$100,"B|"&amp;$C37&amp;"|"&amp;$D37)&gt;0,SUMIFS(Subgroup_Overrides!$F$11:$F$100,Subgroup_Overrides!$H$11:$H$100,"B|"&amp;$C37&amp;"|"&amp;$D37),"")</f>
        <v/>
      </c>
      <c r="L37" s="36" t="str">
        <f aca="false">TRIM(B37)</f>
        <v>NEED</v>
      </c>
      <c r="M37" s="36" t="n">
        <f aca="false">IF($H37="","",1*$H37)</f>
        <v>0</v>
      </c>
      <c r="N37" s="36" t="n">
        <f aca="false">IF($I37="","",1*$I37)</f>
        <v>0</v>
      </c>
      <c r="O37" s="22" t="str">
        <f aca="false">IF($M37="","",$B37&amp;"|"&amp;ROUND($M37*1000000000000,0))</f>
        <v>NEED|0</v>
      </c>
      <c r="P37" s="22" t="str">
        <f aca="false">IF($N37="","",$B37&amp;"|"&amp;ROUND($N37*1000000000000,0))</f>
        <v>NEED|0</v>
      </c>
    </row>
    <row r="38" customFormat="false" ht="14.25" hidden="false" customHeight="true" outlineLevel="0" collapsed="false">
      <c r="A38" s="36" t="n">
        <v>37</v>
      </c>
      <c r="B38" s="36" t="s">
        <v>177</v>
      </c>
      <c r="C38" s="36" t="s">
        <v>766</v>
      </c>
      <c r="D38" s="36" t="s">
        <v>761</v>
      </c>
      <c r="E38" s="36" t="n">
        <v>-0.5</v>
      </c>
      <c r="F38" s="49" t="n">
        <f aca="false">INDEX(I_prop!$B$7:$H$13, MATCH($C38, I_prop!$A$7:$A$13,0), MATCH($D38, I_prop!$B$6:$H$6,0))</f>
        <v>0</v>
      </c>
      <c r="G38" s="49" t="n">
        <f aca="false">INDEX(I_prop!$B$18:$H$24, MATCH($C38, I_prop!$A$18:$A$24,0), MATCH($D38, I_prop!$B$17:$H$17,0))</f>
        <v>0</v>
      </c>
      <c r="H38" s="49" t="n">
        <f aca="false">IF($J38&lt;&gt;"",$J38,IF($F38&lt;0,MAX(-1,Subgroup_Overrides!$B$7*$F38),$F38))</f>
        <v>0</v>
      </c>
      <c r="I38" s="49" t="n">
        <f aca="false">IF($K38&lt;&gt;"",$K38,IF($G38&lt;0,MAX(-1,Subgroup_Overrides!$B$7*$G38),$G38))</f>
        <v>0</v>
      </c>
      <c r="J38" s="36" t="str">
        <f aca="false">IF(COUNTIF(Subgroup_Overrides!$H$11:$H$100,"A|"&amp;$C38&amp;"|"&amp;$D38)&gt;0,SUMIFS(Subgroup_Overrides!$F$11:$F$100,Subgroup_Overrides!$H$11:$H$100,"A|"&amp;$C38&amp;"|"&amp;$D38),"")</f>
        <v/>
      </c>
      <c r="K38" s="36" t="str">
        <f aca="false">IF(COUNTIF(Subgroup_Overrides!$H$11:$H$100,"B|"&amp;$C38&amp;"|"&amp;$D38)&gt;0,SUMIFS(Subgroup_Overrides!$F$11:$F$100,Subgroup_Overrides!$H$11:$H$100,"B|"&amp;$C38&amp;"|"&amp;$D38),"")</f>
        <v/>
      </c>
      <c r="L38" s="36" t="str">
        <f aca="false">TRIM(B38)</f>
        <v>NEED</v>
      </c>
      <c r="M38" s="36" t="n">
        <f aca="false">IF($H38="","",1*$H38)</f>
        <v>0</v>
      </c>
      <c r="N38" s="36" t="n">
        <f aca="false">IF($I38="","",1*$I38)</f>
        <v>0</v>
      </c>
      <c r="O38" s="22" t="str">
        <f aca="false">IF($M38="","",$B38&amp;"|"&amp;ROUND($M38*1000000000000,0))</f>
        <v>NEED|0</v>
      </c>
      <c r="P38" s="22" t="str">
        <f aca="false">IF($N38="","",$B38&amp;"|"&amp;ROUND($N38*1000000000000,0))</f>
        <v>NEED|0</v>
      </c>
    </row>
    <row r="39" customFormat="false" ht="14.25" hidden="false" customHeight="true" outlineLevel="0" collapsed="false">
      <c r="A39" s="36" t="n">
        <v>38</v>
      </c>
      <c r="B39" s="36" t="s">
        <v>178</v>
      </c>
      <c r="C39" s="36" t="s">
        <v>760</v>
      </c>
      <c r="D39" s="36" t="s">
        <v>770</v>
      </c>
      <c r="E39" s="36" t="n">
        <v>-0.55</v>
      </c>
      <c r="F39" s="49" t="n">
        <f aca="false">INDEX(I_prop!$B$7:$H$13, MATCH($C39, I_prop!$A$7:$A$13,0), MATCH($D39, I_prop!$B$6:$H$6,0))</f>
        <v>0</v>
      </c>
      <c r="G39" s="49" t="n">
        <f aca="false">INDEX(I_prop!$B$18:$H$24, MATCH($C39, I_prop!$A$18:$A$24,0), MATCH($D39, I_prop!$B$17:$H$17,0))</f>
        <v>0</v>
      </c>
      <c r="H39" s="49" t="n">
        <f aca="false">IF($J39&lt;&gt;"",$J39,IF($F39&lt;0,MAX(-1,Subgroup_Overrides!$B$7*$F39),$F39))</f>
        <v>0</v>
      </c>
      <c r="I39" s="49" t="n">
        <f aca="false">IF($K39&lt;&gt;"",$K39,IF($G39&lt;0,MAX(-1,Subgroup_Overrides!$B$7*$G39),$G39))</f>
        <v>0</v>
      </c>
      <c r="J39" s="36" t="str">
        <f aca="false">IF(COUNTIF(Subgroup_Overrides!$H$11:$H$100,"A|"&amp;$C39&amp;"|"&amp;$D39)&gt;0,SUMIFS(Subgroup_Overrides!$F$11:$F$100,Subgroup_Overrides!$H$11:$H$100,"A|"&amp;$C39&amp;"|"&amp;$D39),"")</f>
        <v/>
      </c>
      <c r="K39" s="36" t="str">
        <f aca="false">IF(COUNTIF(Subgroup_Overrides!$H$11:$H$100,"B|"&amp;$C39&amp;"|"&amp;$D39)&gt;0,SUMIFS(Subgroup_Overrides!$F$11:$F$100,Subgroup_Overrides!$H$11:$H$100,"B|"&amp;$C39&amp;"|"&amp;$D39),"")</f>
        <v/>
      </c>
      <c r="L39" s="36" t="str">
        <f aca="false">TRIM(B39)</f>
        <v>DIGN</v>
      </c>
      <c r="M39" s="36" t="n">
        <f aca="false">IF($H39="","",1*$H39)</f>
        <v>0</v>
      </c>
      <c r="N39" s="36" t="n">
        <f aca="false">IF($I39="","",1*$I39)</f>
        <v>0</v>
      </c>
      <c r="O39" s="22" t="str">
        <f aca="false">IF($M39="","",$B39&amp;"|"&amp;ROUND($M39*1000000000000,0))</f>
        <v>DIGN|0</v>
      </c>
      <c r="P39" s="22" t="str">
        <f aca="false">IF($N39="","",$B39&amp;"|"&amp;ROUND($N39*1000000000000,0))</f>
        <v>DIGN|0</v>
      </c>
    </row>
    <row r="40" customFormat="false" ht="14.25" hidden="false" customHeight="true" outlineLevel="0" collapsed="false">
      <c r="A40" s="36" t="n">
        <v>39</v>
      </c>
      <c r="B40" s="36" t="s">
        <v>178</v>
      </c>
      <c r="C40" s="36" t="s">
        <v>760</v>
      </c>
      <c r="D40" s="36" t="s">
        <v>769</v>
      </c>
      <c r="E40" s="36" t="n">
        <v>-0.55</v>
      </c>
      <c r="F40" s="49" t="n">
        <f aca="false">INDEX(I_prop!$B$7:$H$13, MATCH($C40, I_prop!$A$7:$A$13,0), MATCH($D40, I_prop!$B$6:$H$6,0))</f>
        <v>0.249007884327423</v>
      </c>
      <c r="G40" s="49" t="n">
        <f aca="false">INDEX(I_prop!$B$18:$H$24, MATCH($C40, I_prop!$A$18:$A$24,0), MATCH($D40, I_prop!$B$17:$H$17,0))</f>
        <v>-0.0463335676706336</v>
      </c>
      <c r="H40" s="49" t="n">
        <f aca="false">IF($J40&lt;&gt;"",$J40,IF($F40&lt;0,MAX(-1,Subgroup_Overrides!$B$7*$F40),$F40))</f>
        <v>0.249007884327423</v>
      </c>
      <c r="I40" s="49" t="n">
        <f aca="false">IF($K40&lt;&gt;"",$K40,IF($G40&lt;0,MAX(-1,Subgroup_Overrides!$B$7*$G40),$G40))</f>
        <v>-0.15</v>
      </c>
      <c r="J40" s="36" t="str">
        <f aca="false">IF(COUNTIF(Subgroup_Overrides!$H$11:$H$100,"A|"&amp;$C40&amp;"|"&amp;$D40)&gt;0,SUMIFS(Subgroup_Overrides!$F$11:$F$100,Subgroup_Overrides!$H$11:$H$100,"A|"&amp;$C40&amp;"|"&amp;$D40),"")</f>
        <v/>
      </c>
      <c r="K40" s="36" t="n">
        <f aca="false">IF(COUNTIF(Subgroup_Overrides!$H$11:$H$100,"B|"&amp;$C40&amp;"|"&amp;$D40)&gt;0,SUMIFS(Subgroup_Overrides!$F$11:$F$100,Subgroup_Overrides!$H$11:$H$100,"B|"&amp;$C40&amp;"|"&amp;$D40),"")</f>
        <v>-0.15</v>
      </c>
      <c r="L40" s="36" t="str">
        <f aca="false">TRIM(B40)</f>
        <v>DIGN</v>
      </c>
      <c r="M40" s="36" t="n">
        <f aca="false">IF($H40="","",1*$H40)</f>
        <v>0.249007884327423</v>
      </c>
      <c r="N40" s="36" t="n">
        <f aca="false">IF($I40="","",1*$I40)</f>
        <v>-0.15</v>
      </c>
      <c r="O40" s="22" t="str">
        <f aca="false">IF($M40="","",$B40&amp;"|"&amp;ROUND($M40*1000000000000,0))</f>
        <v>DIGN|249007884327</v>
      </c>
      <c r="P40" s="22" t="str">
        <f aca="false">IF($N40="","",$B40&amp;"|"&amp;ROUND($N40*1000000000000,0))</f>
        <v>DIGN|-150000000000</v>
      </c>
    </row>
    <row r="41" customFormat="false" ht="14.25" hidden="false" customHeight="true" outlineLevel="0" collapsed="false">
      <c r="A41" s="36" t="n">
        <v>40</v>
      </c>
      <c r="B41" s="36" t="s">
        <v>178</v>
      </c>
      <c r="C41" s="36" t="s">
        <v>762</v>
      </c>
      <c r="D41" s="36" t="s">
        <v>770</v>
      </c>
      <c r="E41" s="36" t="n">
        <v>-0.55</v>
      </c>
      <c r="F41" s="49" t="n">
        <f aca="false">INDEX(I_prop!$B$7:$H$13, MATCH($C41, I_prop!$A$7:$A$13,0), MATCH($D41, I_prop!$B$6:$H$6,0))</f>
        <v>0</v>
      </c>
      <c r="G41" s="49" t="n">
        <f aca="false">INDEX(I_prop!$B$18:$H$24, MATCH($C41, I_prop!$A$18:$A$24,0), MATCH($D41, I_prop!$B$17:$H$17,0))</f>
        <v>0</v>
      </c>
      <c r="H41" s="49" t="n">
        <f aca="false">IF($J41&lt;&gt;"",$J41,IF($F41&lt;0,MAX(-1,Subgroup_Overrides!$B$7*$F41),$F41))</f>
        <v>0</v>
      </c>
      <c r="I41" s="49" t="n">
        <f aca="false">IF($K41&lt;&gt;"",$K41,IF($G41&lt;0,MAX(-1,Subgroup_Overrides!$B$7*$G41),$G41))</f>
        <v>0</v>
      </c>
      <c r="J41" s="36" t="str">
        <f aca="false">IF(COUNTIF(Subgroup_Overrides!$H$11:$H$100,"A|"&amp;$C41&amp;"|"&amp;$D41)&gt;0,SUMIFS(Subgroup_Overrides!$F$11:$F$100,Subgroup_Overrides!$H$11:$H$100,"A|"&amp;$C41&amp;"|"&amp;$D41),"")</f>
        <v/>
      </c>
      <c r="K41" s="36" t="str">
        <f aca="false">IF(COUNTIF(Subgroup_Overrides!$H$11:$H$100,"B|"&amp;$C41&amp;"|"&amp;$D41)&gt;0,SUMIFS(Subgroup_Overrides!$F$11:$F$100,Subgroup_Overrides!$H$11:$H$100,"B|"&amp;$C41&amp;"|"&amp;$D41),"")</f>
        <v/>
      </c>
      <c r="L41" s="36" t="str">
        <f aca="false">TRIM(B41)</f>
        <v>DIGN</v>
      </c>
      <c r="M41" s="36" t="n">
        <f aca="false">IF($H41="","",1*$H41)</f>
        <v>0</v>
      </c>
      <c r="N41" s="36" t="n">
        <f aca="false">IF($I41="","",1*$I41)</f>
        <v>0</v>
      </c>
      <c r="O41" s="22" t="str">
        <f aca="false">IF($M41="","",$B41&amp;"|"&amp;ROUND($M41*1000000000000,0))</f>
        <v>DIGN|0</v>
      </c>
      <c r="P41" s="22" t="str">
        <f aca="false">IF($N41="","",$B41&amp;"|"&amp;ROUND($N41*1000000000000,0))</f>
        <v>DIGN|0</v>
      </c>
    </row>
    <row r="42" customFormat="false" ht="14.25" hidden="false" customHeight="true" outlineLevel="0" collapsed="false">
      <c r="A42" s="36" t="n">
        <v>41</v>
      </c>
      <c r="B42" s="36" t="s">
        <v>178</v>
      </c>
      <c r="C42" s="36" t="s">
        <v>762</v>
      </c>
      <c r="D42" s="36" t="s">
        <v>769</v>
      </c>
      <c r="E42" s="36" t="n">
        <v>-0.55</v>
      </c>
      <c r="F42" s="49" t="n">
        <f aca="false">INDEX(I_prop!$B$7:$H$13, MATCH($C42, I_prop!$A$7:$A$13,0), MATCH($D42, I_prop!$B$6:$H$6,0))</f>
        <v>0</v>
      </c>
      <c r="G42" s="49" t="n">
        <f aca="false">INDEX(I_prop!$B$18:$H$24, MATCH($C42, I_prop!$A$18:$A$24,0), MATCH($D42, I_prop!$B$17:$H$17,0))</f>
        <v>0</v>
      </c>
      <c r="H42" s="49" t="n">
        <f aca="false">IF($J42&lt;&gt;"",$J42,IF($F42&lt;0,MAX(-1,Subgroup_Overrides!$B$7*$F42),$F42))</f>
        <v>0</v>
      </c>
      <c r="I42" s="49" t="n">
        <f aca="false">IF($K42&lt;&gt;"",$K42,IF($G42&lt;0,MAX(-1,Subgroup_Overrides!$B$7*$G42),$G42))</f>
        <v>0</v>
      </c>
      <c r="J42" s="36" t="str">
        <f aca="false">IF(COUNTIF(Subgroup_Overrides!$H$11:$H$100,"A|"&amp;$C42&amp;"|"&amp;$D42)&gt;0,SUMIFS(Subgroup_Overrides!$F$11:$F$100,Subgroup_Overrides!$H$11:$H$100,"A|"&amp;$C42&amp;"|"&amp;$D42),"")</f>
        <v/>
      </c>
      <c r="K42" s="36" t="str">
        <f aca="false">IF(COUNTIF(Subgroup_Overrides!$H$11:$H$100,"B|"&amp;$C42&amp;"|"&amp;$D42)&gt;0,SUMIFS(Subgroup_Overrides!$F$11:$F$100,Subgroup_Overrides!$H$11:$H$100,"B|"&amp;$C42&amp;"|"&amp;$D42),"")</f>
        <v/>
      </c>
      <c r="L42" s="36" t="str">
        <f aca="false">TRIM(B42)</f>
        <v>DIGN</v>
      </c>
      <c r="M42" s="36" t="n">
        <f aca="false">IF($H42="","",1*$H42)</f>
        <v>0</v>
      </c>
      <c r="N42" s="36" t="n">
        <f aca="false">IF($I42="","",1*$I42)</f>
        <v>0</v>
      </c>
      <c r="O42" s="22" t="str">
        <f aca="false">IF($M42="","",$B42&amp;"|"&amp;ROUND($M42*1000000000000,0))</f>
        <v>DIGN|0</v>
      </c>
      <c r="P42" s="22" t="str">
        <f aca="false">IF($N42="","",$B42&amp;"|"&amp;ROUND($N42*1000000000000,0))</f>
        <v>DIGN|0</v>
      </c>
    </row>
    <row r="43" customFormat="false" ht="14.25" hidden="false" customHeight="true" outlineLevel="0" collapsed="false">
      <c r="A43" s="36" t="n">
        <v>42</v>
      </c>
      <c r="B43" s="36" t="s">
        <v>178</v>
      </c>
      <c r="C43" s="36" t="s">
        <v>763</v>
      </c>
      <c r="D43" s="36" t="s">
        <v>770</v>
      </c>
      <c r="E43" s="36" t="n">
        <v>-0.55</v>
      </c>
      <c r="F43" s="49" t="n">
        <f aca="false">INDEX(I_prop!$B$7:$H$13, MATCH($C43, I_prop!$A$7:$A$13,0), MATCH($D43, I_prop!$B$6:$H$6,0))</f>
        <v>-0.0807256868155385</v>
      </c>
      <c r="G43" s="49" t="n">
        <f aca="false">INDEX(I_prop!$B$18:$H$24, MATCH($C43, I_prop!$A$18:$A$24,0), MATCH($D43, I_prop!$B$17:$H$17,0))</f>
        <v>0.0615155722135092</v>
      </c>
      <c r="H43" s="49" t="n">
        <f aca="false">IF($J43&lt;&gt;"",$J43,IF($F43&lt;0,MAX(-1,Subgroup_Overrides!$B$7*$F43),$F43))</f>
        <v>-0.15</v>
      </c>
      <c r="I43" s="49" t="n">
        <f aca="false">IF($K43&lt;&gt;"",$K43,IF($G43&lt;0,MAX(-1,Subgroup_Overrides!$B$7*$G43),$G43))</f>
        <v>0.0615155722135092</v>
      </c>
      <c r="J43" s="36" t="n">
        <f aca="false">IF(COUNTIF(Subgroup_Overrides!$H$11:$H$100,"A|"&amp;$C43&amp;"|"&amp;$D43)&gt;0,SUMIFS(Subgroup_Overrides!$F$11:$F$100,Subgroup_Overrides!$H$11:$H$100,"A|"&amp;$C43&amp;"|"&amp;$D43),"")</f>
        <v>-0.15</v>
      </c>
      <c r="K43" s="36" t="str">
        <f aca="false">IF(COUNTIF(Subgroup_Overrides!$H$11:$H$100,"B|"&amp;$C43&amp;"|"&amp;$D43)&gt;0,SUMIFS(Subgroup_Overrides!$F$11:$F$100,Subgroup_Overrides!$H$11:$H$100,"B|"&amp;$C43&amp;"|"&amp;$D43),"")</f>
        <v/>
      </c>
      <c r="L43" s="36" t="str">
        <f aca="false">TRIM(B43)</f>
        <v>DIGN</v>
      </c>
      <c r="M43" s="36" t="n">
        <f aca="false">IF($H43="","",1*$H43)</f>
        <v>-0.15</v>
      </c>
      <c r="N43" s="36" t="n">
        <f aca="false">IF($I43="","",1*$I43)</f>
        <v>0.0615155722135092</v>
      </c>
      <c r="O43" s="22" t="str">
        <f aca="false">IF($M43="","",$B43&amp;"|"&amp;ROUND($M43*1000000000000,0))</f>
        <v>DIGN|-150000000000</v>
      </c>
      <c r="P43" s="22" t="str">
        <f aca="false">IF($N43="","",$B43&amp;"|"&amp;ROUND($N43*1000000000000,0))</f>
        <v>DIGN|61515572214</v>
      </c>
    </row>
    <row r="44" customFormat="false" ht="14.25" hidden="false" customHeight="true" outlineLevel="0" collapsed="false">
      <c r="A44" s="36" t="n">
        <v>43</v>
      </c>
      <c r="B44" s="36" t="s">
        <v>178</v>
      </c>
      <c r="C44" s="36" t="s">
        <v>763</v>
      </c>
      <c r="D44" s="36" t="s">
        <v>769</v>
      </c>
      <c r="E44" s="36" t="n">
        <v>-0.55</v>
      </c>
      <c r="F44" s="49" t="n">
        <f aca="false">INDEX(I_prop!$B$7:$H$13, MATCH($C44, I_prop!$A$7:$A$13,0), MATCH($D44, I_prop!$B$6:$H$6,0))</f>
        <v>0</v>
      </c>
      <c r="G44" s="49" t="n">
        <f aca="false">INDEX(I_prop!$B$18:$H$24, MATCH($C44, I_prop!$A$18:$A$24,0), MATCH($D44, I_prop!$B$17:$H$17,0))</f>
        <v>0</v>
      </c>
      <c r="H44" s="49" t="n">
        <f aca="false">IF($J44&lt;&gt;"",$J44,IF($F44&lt;0,MAX(-1,Subgroup_Overrides!$B$7*$F44),$F44))</f>
        <v>0</v>
      </c>
      <c r="I44" s="49" t="n">
        <f aca="false">IF($K44&lt;&gt;"",$K44,IF($G44&lt;0,MAX(-1,Subgroup_Overrides!$B$7*$G44),$G44))</f>
        <v>0</v>
      </c>
      <c r="J44" s="36" t="str">
        <f aca="false">IF(COUNTIF(Subgroup_Overrides!$H$11:$H$100,"A|"&amp;$C44&amp;"|"&amp;$D44)&gt;0,SUMIFS(Subgroup_Overrides!$F$11:$F$100,Subgroup_Overrides!$H$11:$H$100,"A|"&amp;$C44&amp;"|"&amp;$D44),"")</f>
        <v/>
      </c>
      <c r="K44" s="36" t="str">
        <f aca="false">IF(COUNTIF(Subgroup_Overrides!$H$11:$H$100,"B|"&amp;$C44&amp;"|"&amp;$D44)&gt;0,SUMIFS(Subgroup_Overrides!$F$11:$F$100,Subgroup_Overrides!$H$11:$H$100,"B|"&amp;$C44&amp;"|"&amp;$D44),"")</f>
        <v/>
      </c>
      <c r="L44" s="36" t="str">
        <f aca="false">TRIM(B44)</f>
        <v>DIGN</v>
      </c>
      <c r="M44" s="36" t="n">
        <f aca="false">IF($H44="","",1*$H44)</f>
        <v>0</v>
      </c>
      <c r="N44" s="36" t="n">
        <f aca="false">IF($I44="","",1*$I44)</f>
        <v>0</v>
      </c>
      <c r="O44" s="22" t="str">
        <f aca="false">IF($M44="","",$B44&amp;"|"&amp;ROUND($M44*1000000000000,0))</f>
        <v>DIGN|0</v>
      </c>
      <c r="P44" s="22" t="str">
        <f aca="false">IF($N44="","",$B44&amp;"|"&amp;ROUND($N44*1000000000000,0))</f>
        <v>DIGN|0</v>
      </c>
    </row>
    <row r="45" customFormat="false" ht="14.25" hidden="false" customHeight="true" outlineLevel="0" collapsed="false">
      <c r="A45" s="36" t="n">
        <v>44</v>
      </c>
      <c r="B45" s="36" t="s">
        <v>178</v>
      </c>
      <c r="C45" s="36" t="s">
        <v>764</v>
      </c>
      <c r="D45" s="36" t="s">
        <v>770</v>
      </c>
      <c r="E45" s="36" t="n">
        <v>-0.55</v>
      </c>
      <c r="F45" s="49" t="n">
        <f aca="false">INDEX(I_prop!$B$7:$H$13, MATCH($C45, I_prop!$A$7:$A$13,0), MATCH($D45, I_prop!$B$6:$H$6,0))</f>
        <v>0</v>
      </c>
      <c r="G45" s="49" t="n">
        <f aca="false">INDEX(I_prop!$B$18:$H$24, MATCH($C45, I_prop!$A$18:$A$24,0), MATCH($D45, I_prop!$B$17:$H$17,0))</f>
        <v>0</v>
      </c>
      <c r="H45" s="49" t="n">
        <f aca="false">IF($J45&lt;&gt;"",$J45,IF($F45&lt;0,MAX(-1,Subgroup_Overrides!$B$7*$F45),$F45))</f>
        <v>0</v>
      </c>
      <c r="I45" s="49" t="n">
        <f aca="false">IF($K45&lt;&gt;"",$K45,IF($G45&lt;0,MAX(-1,Subgroup_Overrides!$B$7*$G45),$G45))</f>
        <v>0</v>
      </c>
      <c r="J45" s="36" t="str">
        <f aca="false">IF(COUNTIF(Subgroup_Overrides!$H$11:$H$100,"A|"&amp;$C45&amp;"|"&amp;$D45)&gt;0,SUMIFS(Subgroup_Overrides!$F$11:$F$100,Subgroup_Overrides!$H$11:$H$100,"A|"&amp;$C45&amp;"|"&amp;$D45),"")</f>
        <v/>
      </c>
      <c r="K45" s="36" t="str">
        <f aca="false">IF(COUNTIF(Subgroup_Overrides!$H$11:$H$100,"B|"&amp;$C45&amp;"|"&amp;$D45)&gt;0,SUMIFS(Subgroup_Overrides!$F$11:$F$100,Subgroup_Overrides!$H$11:$H$100,"B|"&amp;$C45&amp;"|"&amp;$D45),"")</f>
        <v/>
      </c>
      <c r="L45" s="36" t="str">
        <f aca="false">TRIM(B45)</f>
        <v>DIGN</v>
      </c>
      <c r="M45" s="36" t="n">
        <f aca="false">IF($H45="","",1*$H45)</f>
        <v>0</v>
      </c>
      <c r="N45" s="36" t="n">
        <f aca="false">IF($I45="","",1*$I45)</f>
        <v>0</v>
      </c>
      <c r="O45" s="22" t="str">
        <f aca="false">IF($M45="","",$B45&amp;"|"&amp;ROUND($M45*1000000000000,0))</f>
        <v>DIGN|0</v>
      </c>
      <c r="P45" s="22" t="str">
        <f aca="false">IF($N45="","",$B45&amp;"|"&amp;ROUND($N45*1000000000000,0))</f>
        <v>DIGN|0</v>
      </c>
    </row>
    <row r="46" customFormat="false" ht="14.25" hidden="false" customHeight="true" outlineLevel="0" collapsed="false">
      <c r="A46" s="36" t="n">
        <v>45</v>
      </c>
      <c r="B46" s="36" t="s">
        <v>178</v>
      </c>
      <c r="C46" s="36" t="s">
        <v>764</v>
      </c>
      <c r="D46" s="36" t="s">
        <v>769</v>
      </c>
      <c r="E46" s="36" t="n">
        <v>-0.55</v>
      </c>
      <c r="F46" s="49" t="n">
        <f aca="false">INDEX(I_prop!$B$7:$H$13, MATCH($C46, I_prop!$A$7:$A$13,0), MATCH($D46, I_prop!$B$6:$H$6,0))</f>
        <v>0</v>
      </c>
      <c r="G46" s="49" t="n">
        <f aca="false">INDEX(I_prop!$B$18:$H$24, MATCH($C46, I_prop!$A$18:$A$24,0), MATCH($D46, I_prop!$B$17:$H$17,0))</f>
        <v>0</v>
      </c>
      <c r="H46" s="49" t="n">
        <f aca="false">IF($J46&lt;&gt;"",$J46,IF($F46&lt;0,MAX(-1,Subgroup_Overrides!$B$7*$F46),$F46))</f>
        <v>0</v>
      </c>
      <c r="I46" s="49" t="n">
        <f aca="false">IF($K46&lt;&gt;"",$K46,IF($G46&lt;0,MAX(-1,Subgroup_Overrides!$B$7*$G46),$G46))</f>
        <v>0</v>
      </c>
      <c r="J46" s="36" t="str">
        <f aca="false">IF(COUNTIF(Subgroup_Overrides!$H$11:$H$100,"A|"&amp;$C46&amp;"|"&amp;$D46)&gt;0,SUMIFS(Subgroup_Overrides!$F$11:$F$100,Subgroup_Overrides!$H$11:$H$100,"A|"&amp;$C46&amp;"|"&amp;$D46),"")</f>
        <v/>
      </c>
      <c r="K46" s="36" t="str">
        <f aca="false">IF(COUNTIF(Subgroup_Overrides!$H$11:$H$100,"B|"&amp;$C46&amp;"|"&amp;$D46)&gt;0,SUMIFS(Subgroup_Overrides!$F$11:$F$100,Subgroup_Overrides!$H$11:$H$100,"B|"&amp;$C46&amp;"|"&amp;$D46),"")</f>
        <v/>
      </c>
      <c r="L46" s="36" t="str">
        <f aca="false">TRIM(B46)</f>
        <v>DIGN</v>
      </c>
      <c r="M46" s="36" t="n">
        <f aca="false">IF($H46="","",1*$H46)</f>
        <v>0</v>
      </c>
      <c r="N46" s="36" t="n">
        <f aca="false">IF($I46="","",1*$I46)</f>
        <v>0</v>
      </c>
      <c r="O46" s="22" t="str">
        <f aca="false">IF($M46="","",$B46&amp;"|"&amp;ROUND($M46*1000000000000,0))</f>
        <v>DIGN|0</v>
      </c>
      <c r="P46" s="22" t="str">
        <f aca="false">IF($N46="","",$B46&amp;"|"&amp;ROUND($N46*1000000000000,0))</f>
        <v>DIGN|0</v>
      </c>
    </row>
    <row r="47" customFormat="false" ht="14.25" hidden="false" customHeight="true" outlineLevel="0" collapsed="false">
      <c r="A47" s="36" t="n">
        <v>46</v>
      </c>
      <c r="B47" s="36" t="s">
        <v>178</v>
      </c>
      <c r="C47" s="36" t="s">
        <v>765</v>
      </c>
      <c r="D47" s="36" t="s">
        <v>770</v>
      </c>
      <c r="E47" s="36" t="n">
        <v>-0.55</v>
      </c>
      <c r="F47" s="49" t="n">
        <f aca="false">INDEX(I_prop!$B$7:$H$13, MATCH($C47, I_prop!$A$7:$A$13,0), MATCH($D47, I_prop!$B$6:$H$6,0))</f>
        <v>0</v>
      </c>
      <c r="G47" s="49" t="n">
        <f aca="false">INDEX(I_prop!$B$18:$H$24, MATCH($C47, I_prop!$A$18:$A$24,0), MATCH($D47, I_prop!$B$17:$H$17,0))</f>
        <v>0</v>
      </c>
      <c r="H47" s="49" t="n">
        <f aca="false">IF($J47&lt;&gt;"",$J47,IF($F47&lt;0,MAX(-1,Subgroup_Overrides!$B$7*$F47),$F47))</f>
        <v>0</v>
      </c>
      <c r="I47" s="49" t="n">
        <f aca="false">IF($K47&lt;&gt;"",$K47,IF($G47&lt;0,MAX(-1,Subgroup_Overrides!$B$7*$G47),$G47))</f>
        <v>0</v>
      </c>
      <c r="J47" s="36" t="str">
        <f aca="false">IF(COUNTIF(Subgroup_Overrides!$H$11:$H$100,"A|"&amp;$C47&amp;"|"&amp;$D47)&gt;0,SUMIFS(Subgroup_Overrides!$F$11:$F$100,Subgroup_Overrides!$H$11:$H$100,"A|"&amp;$C47&amp;"|"&amp;$D47),"")</f>
        <v/>
      </c>
      <c r="K47" s="36" t="str">
        <f aca="false">IF(COUNTIF(Subgroup_Overrides!$H$11:$H$100,"B|"&amp;$C47&amp;"|"&amp;$D47)&gt;0,SUMIFS(Subgroup_Overrides!$F$11:$F$100,Subgroup_Overrides!$H$11:$H$100,"B|"&amp;$C47&amp;"|"&amp;$D47),"")</f>
        <v/>
      </c>
      <c r="L47" s="36" t="str">
        <f aca="false">TRIM(B47)</f>
        <v>DIGN</v>
      </c>
      <c r="M47" s="36" t="n">
        <f aca="false">IF($H47="","",1*$H47)</f>
        <v>0</v>
      </c>
      <c r="N47" s="36" t="n">
        <f aca="false">IF($I47="","",1*$I47)</f>
        <v>0</v>
      </c>
      <c r="O47" s="22" t="str">
        <f aca="false">IF($M47="","",$B47&amp;"|"&amp;ROUND($M47*1000000000000,0))</f>
        <v>DIGN|0</v>
      </c>
      <c r="P47" s="22" t="str">
        <f aca="false">IF($N47="","",$B47&amp;"|"&amp;ROUND($N47*1000000000000,0))</f>
        <v>DIGN|0</v>
      </c>
    </row>
    <row r="48" customFormat="false" ht="14.25" hidden="false" customHeight="true" outlineLevel="0" collapsed="false">
      <c r="A48" s="36" t="n">
        <v>47</v>
      </c>
      <c r="B48" s="36" t="s">
        <v>178</v>
      </c>
      <c r="C48" s="36" t="s">
        <v>765</v>
      </c>
      <c r="D48" s="36" t="s">
        <v>769</v>
      </c>
      <c r="E48" s="36" t="n">
        <v>-0.55</v>
      </c>
      <c r="F48" s="49" t="n">
        <f aca="false">INDEX(I_prop!$B$7:$H$13, MATCH($C48, I_prop!$A$7:$A$13,0), MATCH($D48, I_prop!$B$6:$H$6,0))</f>
        <v>0</v>
      </c>
      <c r="G48" s="49" t="n">
        <f aca="false">INDEX(I_prop!$B$18:$H$24, MATCH($C48, I_prop!$A$18:$A$24,0), MATCH($D48, I_prop!$B$17:$H$17,0))</f>
        <v>0</v>
      </c>
      <c r="H48" s="49" t="n">
        <f aca="false">IF($J48&lt;&gt;"",$J48,IF($F48&lt;0,MAX(-1,Subgroup_Overrides!$B$7*$F48),$F48))</f>
        <v>0</v>
      </c>
      <c r="I48" s="49" t="n">
        <f aca="false">IF($K48&lt;&gt;"",$K48,IF($G48&lt;0,MAX(-1,Subgroup_Overrides!$B$7*$G48),$G48))</f>
        <v>0</v>
      </c>
      <c r="J48" s="36" t="str">
        <f aca="false">IF(COUNTIF(Subgroup_Overrides!$H$11:$H$100,"A|"&amp;$C48&amp;"|"&amp;$D48)&gt;0,SUMIFS(Subgroup_Overrides!$F$11:$F$100,Subgroup_Overrides!$H$11:$H$100,"A|"&amp;$C48&amp;"|"&amp;$D48),"")</f>
        <v/>
      </c>
      <c r="K48" s="36" t="str">
        <f aca="false">IF(COUNTIF(Subgroup_Overrides!$H$11:$H$100,"B|"&amp;$C48&amp;"|"&amp;$D48)&gt;0,SUMIFS(Subgroup_Overrides!$F$11:$F$100,Subgroup_Overrides!$H$11:$H$100,"B|"&amp;$C48&amp;"|"&amp;$D48),"")</f>
        <v/>
      </c>
      <c r="L48" s="36" t="str">
        <f aca="false">TRIM(B48)</f>
        <v>DIGN</v>
      </c>
      <c r="M48" s="36" t="n">
        <f aca="false">IF($H48="","",1*$H48)</f>
        <v>0</v>
      </c>
      <c r="N48" s="36" t="n">
        <f aca="false">IF($I48="","",1*$I48)</f>
        <v>0</v>
      </c>
      <c r="O48" s="22" t="str">
        <f aca="false">IF($M48="","",$B48&amp;"|"&amp;ROUND($M48*1000000000000,0))</f>
        <v>DIGN|0</v>
      </c>
      <c r="P48" s="22" t="str">
        <f aca="false">IF($N48="","",$B48&amp;"|"&amp;ROUND($N48*1000000000000,0))</f>
        <v>DIGN|0</v>
      </c>
    </row>
    <row r="49" customFormat="false" ht="14.25" hidden="false" customHeight="true" outlineLevel="0" collapsed="false">
      <c r="A49" s="36" t="n">
        <v>48</v>
      </c>
      <c r="B49" s="36" t="s">
        <v>178</v>
      </c>
      <c r="C49" s="36" t="s">
        <v>766</v>
      </c>
      <c r="D49" s="36" t="s">
        <v>770</v>
      </c>
      <c r="E49" s="36" t="n">
        <v>-0.55</v>
      </c>
      <c r="F49" s="49" t="n">
        <f aca="false">INDEX(I_prop!$B$7:$H$13, MATCH($C49, I_prop!$A$7:$A$13,0), MATCH($D49, I_prop!$B$6:$H$6,0))</f>
        <v>0</v>
      </c>
      <c r="G49" s="49" t="n">
        <f aca="false">INDEX(I_prop!$B$18:$H$24, MATCH($C49, I_prop!$A$18:$A$24,0), MATCH($D49, I_prop!$B$17:$H$17,0))</f>
        <v>0</v>
      </c>
      <c r="H49" s="49" t="n">
        <f aca="false">IF($J49&lt;&gt;"",$J49,IF($F49&lt;0,MAX(-1,Subgroup_Overrides!$B$7*$F49),$F49))</f>
        <v>0</v>
      </c>
      <c r="I49" s="49" t="n">
        <f aca="false">IF($K49&lt;&gt;"",$K49,IF($G49&lt;0,MAX(-1,Subgroup_Overrides!$B$7*$G49),$G49))</f>
        <v>0</v>
      </c>
      <c r="J49" s="36" t="str">
        <f aca="false">IF(COUNTIF(Subgroup_Overrides!$H$11:$H$100,"A|"&amp;$C49&amp;"|"&amp;$D49)&gt;0,SUMIFS(Subgroup_Overrides!$F$11:$F$100,Subgroup_Overrides!$H$11:$H$100,"A|"&amp;$C49&amp;"|"&amp;$D49),"")</f>
        <v/>
      </c>
      <c r="K49" s="36" t="str">
        <f aca="false">IF(COUNTIF(Subgroup_Overrides!$H$11:$H$100,"B|"&amp;$C49&amp;"|"&amp;$D49)&gt;0,SUMIFS(Subgroup_Overrides!$F$11:$F$100,Subgroup_Overrides!$H$11:$H$100,"B|"&amp;$C49&amp;"|"&amp;$D49),"")</f>
        <v/>
      </c>
      <c r="L49" s="36" t="str">
        <f aca="false">TRIM(B49)</f>
        <v>DIGN</v>
      </c>
      <c r="M49" s="36" t="n">
        <f aca="false">IF($H49="","",1*$H49)</f>
        <v>0</v>
      </c>
      <c r="N49" s="36" t="n">
        <f aca="false">IF($I49="","",1*$I49)</f>
        <v>0</v>
      </c>
      <c r="O49" s="22" t="str">
        <f aca="false">IF($M49="","",$B49&amp;"|"&amp;ROUND($M49*1000000000000,0))</f>
        <v>DIGN|0</v>
      </c>
      <c r="P49" s="22" t="str">
        <f aca="false">IF($N49="","",$B49&amp;"|"&amp;ROUND($N49*1000000000000,0))</f>
        <v>DIGN|0</v>
      </c>
    </row>
    <row r="50" customFormat="false" ht="14.25" hidden="false" customHeight="true" outlineLevel="0" collapsed="false">
      <c r="A50" s="36" t="n">
        <v>49</v>
      </c>
      <c r="B50" s="36" t="s">
        <v>178</v>
      </c>
      <c r="C50" s="36" t="s">
        <v>766</v>
      </c>
      <c r="D50" s="36" t="s">
        <v>769</v>
      </c>
      <c r="E50" s="36" t="n">
        <v>-0.55</v>
      </c>
      <c r="F50" s="49" t="n">
        <f aca="false">INDEX(I_prop!$B$7:$H$13, MATCH($C50, I_prop!$A$7:$A$13,0), MATCH($D50, I_prop!$B$6:$H$6,0))</f>
        <v>0</v>
      </c>
      <c r="G50" s="49" t="n">
        <f aca="false">INDEX(I_prop!$B$18:$H$24, MATCH($C50, I_prop!$A$18:$A$24,0), MATCH($D50, I_prop!$B$17:$H$17,0))</f>
        <v>0</v>
      </c>
      <c r="H50" s="49" t="n">
        <f aca="false">IF($J50&lt;&gt;"",$J50,IF($F50&lt;0,MAX(-1,Subgroup_Overrides!$B$7*$F50),$F50))</f>
        <v>0</v>
      </c>
      <c r="I50" s="49" t="n">
        <f aca="false">IF($K50&lt;&gt;"",$K50,IF($G50&lt;0,MAX(-1,Subgroup_Overrides!$B$7*$G50),$G50))</f>
        <v>0</v>
      </c>
      <c r="J50" s="36" t="str">
        <f aca="false">IF(COUNTIF(Subgroup_Overrides!$H$11:$H$100,"A|"&amp;$C50&amp;"|"&amp;$D50)&gt;0,SUMIFS(Subgroup_Overrides!$F$11:$F$100,Subgroup_Overrides!$H$11:$H$100,"A|"&amp;$C50&amp;"|"&amp;$D50),"")</f>
        <v/>
      </c>
      <c r="K50" s="36" t="str">
        <f aca="false">IF(COUNTIF(Subgroup_Overrides!$H$11:$H$100,"B|"&amp;$C50&amp;"|"&amp;$D50)&gt;0,SUMIFS(Subgroup_Overrides!$F$11:$F$100,Subgroup_Overrides!$H$11:$H$100,"B|"&amp;$C50&amp;"|"&amp;$D50),"")</f>
        <v/>
      </c>
      <c r="L50" s="36" t="str">
        <f aca="false">TRIM(B50)</f>
        <v>DIGN</v>
      </c>
      <c r="M50" s="36" t="n">
        <f aca="false">IF($H50="","",1*$H50)</f>
        <v>0</v>
      </c>
      <c r="N50" s="36" t="n">
        <f aca="false">IF($I50="","",1*$I50)</f>
        <v>0</v>
      </c>
      <c r="O50" s="22" t="str">
        <f aca="false">IF($M50="","",$B50&amp;"|"&amp;ROUND($M50*1000000000000,0))</f>
        <v>DIGN|0</v>
      </c>
      <c r="P50" s="22" t="str">
        <f aca="false">IF($N50="","",$B50&amp;"|"&amp;ROUND($N50*1000000000000,0))</f>
        <v>DIGN|0</v>
      </c>
    </row>
    <row r="51" customFormat="false" ht="14.25" hidden="false" customHeight="true" outlineLevel="0" collapsed="false">
      <c r="A51" s="36" t="n">
        <v>50</v>
      </c>
      <c r="B51" s="36" t="s">
        <v>179</v>
      </c>
      <c r="C51" s="36" t="s">
        <v>764</v>
      </c>
      <c r="D51" s="36" t="s">
        <v>770</v>
      </c>
      <c r="E51" s="36" t="n">
        <v>-0.45</v>
      </c>
      <c r="F51" s="49" t="n">
        <f aca="false">INDEX(I_prop!$B$7:$H$13, MATCH($C51, I_prop!$A$7:$A$13,0), MATCH($D51, I_prop!$B$6:$H$6,0))</f>
        <v>0</v>
      </c>
      <c r="G51" s="49" t="n">
        <f aca="false">INDEX(I_prop!$B$18:$H$24, MATCH($C51, I_prop!$A$18:$A$24,0), MATCH($D51, I_prop!$B$17:$H$17,0))</f>
        <v>0</v>
      </c>
      <c r="H51" s="49" t="n">
        <f aca="false">IF($J51&lt;&gt;"",$J51,IF($F51&lt;0,MAX(-1,Subgroup_Overrides!$B$7*$F51),$F51))</f>
        <v>0</v>
      </c>
      <c r="I51" s="49" t="n">
        <f aca="false">IF($K51&lt;&gt;"",$K51,IF($G51&lt;0,MAX(-1,Subgroup_Overrides!$B$7*$G51),$G51))</f>
        <v>0</v>
      </c>
      <c r="J51" s="36" t="str">
        <f aca="false">IF(COUNTIF(Subgroup_Overrides!$H$11:$H$100,"A|"&amp;$C51&amp;"|"&amp;$D51)&gt;0,SUMIFS(Subgroup_Overrides!$F$11:$F$100,Subgroup_Overrides!$H$11:$H$100,"A|"&amp;$C51&amp;"|"&amp;$D51),"")</f>
        <v/>
      </c>
      <c r="K51" s="36" t="str">
        <f aca="false">IF(COUNTIF(Subgroup_Overrides!$H$11:$H$100,"B|"&amp;$C51&amp;"|"&amp;$D51)&gt;0,SUMIFS(Subgroup_Overrides!$F$11:$F$100,Subgroup_Overrides!$H$11:$H$100,"B|"&amp;$C51&amp;"|"&amp;$D51),"")</f>
        <v/>
      </c>
      <c r="L51" s="36" t="str">
        <f aca="false">TRIM(B51)</f>
        <v>PROC</v>
      </c>
      <c r="M51" s="36" t="n">
        <f aca="false">IF($H51="","",1*$H51)</f>
        <v>0</v>
      </c>
      <c r="N51" s="36" t="n">
        <f aca="false">IF($I51="","",1*$I51)</f>
        <v>0</v>
      </c>
      <c r="O51" s="22" t="str">
        <f aca="false">IF($M51="","",$B51&amp;"|"&amp;ROUND($M51*1000000000000,0))</f>
        <v>PROC|0</v>
      </c>
      <c r="P51" s="22" t="str">
        <f aca="false">IF($N51="","",$B51&amp;"|"&amp;ROUND($N51*1000000000000,0))</f>
        <v>PROC|0</v>
      </c>
    </row>
    <row r="52" customFormat="false" ht="14.25" hidden="false" customHeight="true" outlineLevel="0" collapsed="false">
      <c r="A52" s="36" t="n">
        <v>51</v>
      </c>
      <c r="B52" s="36" t="s">
        <v>179</v>
      </c>
      <c r="C52" s="36" t="s">
        <v>764</v>
      </c>
      <c r="D52" s="36" t="s">
        <v>772</v>
      </c>
      <c r="E52" s="36" t="n">
        <v>-0.45</v>
      </c>
      <c r="F52" s="49" t="n">
        <f aca="false">INDEX(I_prop!$B$7:$H$13, MATCH($C52, I_prop!$A$7:$A$13,0), MATCH($D52, I_prop!$B$6:$H$6,0))</f>
        <v>0</v>
      </c>
      <c r="G52" s="49" t="n">
        <f aca="false">INDEX(I_prop!$B$18:$H$24, MATCH($C52, I_prop!$A$18:$A$24,0), MATCH($D52, I_prop!$B$17:$H$17,0))</f>
        <v>0</v>
      </c>
      <c r="H52" s="49" t="n">
        <f aca="false">IF($J52&lt;&gt;"",$J52,IF($F52&lt;0,MAX(-1,Subgroup_Overrides!$B$7*$F52),$F52))</f>
        <v>0</v>
      </c>
      <c r="I52" s="49" t="n">
        <f aca="false">IF($K52&lt;&gt;"",$K52,IF($G52&lt;0,MAX(-1,Subgroup_Overrides!$B$7*$G52),$G52))</f>
        <v>0</v>
      </c>
      <c r="J52" s="36" t="str">
        <f aca="false">IF(COUNTIF(Subgroup_Overrides!$H$11:$H$100,"A|"&amp;$C52&amp;"|"&amp;$D52)&gt;0,SUMIFS(Subgroup_Overrides!$F$11:$F$100,Subgroup_Overrides!$H$11:$H$100,"A|"&amp;$C52&amp;"|"&amp;$D52),"")</f>
        <v/>
      </c>
      <c r="K52" s="36" t="str">
        <f aca="false">IF(COUNTIF(Subgroup_Overrides!$H$11:$H$100,"B|"&amp;$C52&amp;"|"&amp;$D52)&gt;0,SUMIFS(Subgroup_Overrides!$F$11:$F$100,Subgroup_Overrides!$H$11:$H$100,"B|"&amp;$C52&amp;"|"&amp;$D52),"")</f>
        <v/>
      </c>
      <c r="L52" s="36" t="str">
        <f aca="false">TRIM(B52)</f>
        <v>PROC</v>
      </c>
      <c r="M52" s="36" t="n">
        <f aca="false">IF($H52="","",1*$H52)</f>
        <v>0</v>
      </c>
      <c r="N52" s="36" t="n">
        <f aca="false">IF($I52="","",1*$I52)</f>
        <v>0</v>
      </c>
      <c r="O52" s="22" t="str">
        <f aca="false">IF($M52="","",$B52&amp;"|"&amp;ROUND($M52*1000000000000,0))</f>
        <v>PROC|0</v>
      </c>
      <c r="P52" s="22" t="str">
        <f aca="false">IF($N52="","",$B52&amp;"|"&amp;ROUND($N52*1000000000000,0))</f>
        <v>PROC|0</v>
      </c>
    </row>
    <row r="53" customFormat="false" ht="14.25" hidden="false" customHeight="true" outlineLevel="0" collapsed="false">
      <c r="A53" s="36" t="n">
        <v>52</v>
      </c>
      <c r="B53" s="36" t="s">
        <v>179</v>
      </c>
      <c r="C53" s="36" t="s">
        <v>764</v>
      </c>
      <c r="D53" s="36" t="s">
        <v>769</v>
      </c>
      <c r="E53" s="36" t="n">
        <v>-0.45</v>
      </c>
      <c r="F53" s="49" t="n">
        <f aca="false">INDEX(I_prop!$B$7:$H$13, MATCH($C53, I_prop!$A$7:$A$13,0), MATCH($D53, I_prop!$B$6:$H$6,0))</f>
        <v>0</v>
      </c>
      <c r="G53" s="49" t="n">
        <f aca="false">INDEX(I_prop!$B$18:$H$24, MATCH($C53, I_prop!$A$18:$A$24,0), MATCH($D53, I_prop!$B$17:$H$17,0))</f>
        <v>0</v>
      </c>
      <c r="H53" s="49" t="n">
        <f aca="false">IF($J53&lt;&gt;"",$J53,IF($F53&lt;0,MAX(-1,Subgroup_Overrides!$B$7*$F53),$F53))</f>
        <v>0</v>
      </c>
      <c r="I53" s="49" t="n">
        <f aca="false">IF($K53&lt;&gt;"",$K53,IF($G53&lt;0,MAX(-1,Subgroup_Overrides!$B$7*$G53),$G53))</f>
        <v>0</v>
      </c>
      <c r="J53" s="36" t="str">
        <f aca="false">IF(COUNTIF(Subgroup_Overrides!$H$11:$H$100,"A|"&amp;$C53&amp;"|"&amp;$D53)&gt;0,SUMIFS(Subgroup_Overrides!$F$11:$F$100,Subgroup_Overrides!$H$11:$H$100,"A|"&amp;$C53&amp;"|"&amp;$D53),"")</f>
        <v/>
      </c>
      <c r="K53" s="36" t="str">
        <f aca="false">IF(COUNTIF(Subgroup_Overrides!$H$11:$H$100,"B|"&amp;$C53&amp;"|"&amp;$D53)&gt;0,SUMIFS(Subgroup_Overrides!$F$11:$F$100,Subgroup_Overrides!$H$11:$H$100,"B|"&amp;$C53&amp;"|"&amp;$D53),"")</f>
        <v/>
      </c>
      <c r="L53" s="36" t="str">
        <f aca="false">TRIM(B53)</f>
        <v>PROC</v>
      </c>
      <c r="M53" s="36" t="n">
        <f aca="false">IF($H53="","",1*$H53)</f>
        <v>0</v>
      </c>
      <c r="N53" s="36" t="n">
        <f aca="false">IF($I53="","",1*$I53)</f>
        <v>0</v>
      </c>
      <c r="O53" s="22" t="str">
        <f aca="false">IF($M53="","",$B53&amp;"|"&amp;ROUND($M53*1000000000000,0))</f>
        <v>PROC|0</v>
      </c>
      <c r="P53" s="22" t="str">
        <f aca="false">IF($N53="","",$B53&amp;"|"&amp;ROUND($N53*1000000000000,0))</f>
        <v>PROC|0</v>
      </c>
    </row>
    <row r="54" customFormat="false" ht="14.25" hidden="false" customHeight="true" outlineLevel="0" collapsed="false">
      <c r="A54" s="36" t="n">
        <v>53</v>
      </c>
      <c r="B54" s="36" t="s">
        <v>179</v>
      </c>
      <c r="C54" s="36" t="s">
        <v>765</v>
      </c>
      <c r="D54" s="36" t="s">
        <v>770</v>
      </c>
      <c r="E54" s="36" t="n">
        <v>-0.45</v>
      </c>
      <c r="F54" s="49" t="n">
        <f aca="false">INDEX(I_prop!$B$7:$H$13, MATCH($C54, I_prop!$A$7:$A$13,0), MATCH($D54, I_prop!$B$6:$H$6,0))</f>
        <v>0</v>
      </c>
      <c r="G54" s="49" t="n">
        <f aca="false">INDEX(I_prop!$B$18:$H$24, MATCH($C54, I_prop!$A$18:$A$24,0), MATCH($D54, I_prop!$B$17:$H$17,0))</f>
        <v>0</v>
      </c>
      <c r="H54" s="49" t="n">
        <f aca="false">IF($J54&lt;&gt;"",$J54,IF($F54&lt;0,MAX(-1,Subgroup_Overrides!$B$7*$F54),$F54))</f>
        <v>0</v>
      </c>
      <c r="I54" s="49" t="n">
        <f aca="false">IF($K54&lt;&gt;"",$K54,IF($G54&lt;0,MAX(-1,Subgroup_Overrides!$B$7*$G54),$G54))</f>
        <v>0</v>
      </c>
      <c r="J54" s="36" t="str">
        <f aca="false">IF(COUNTIF(Subgroup_Overrides!$H$11:$H$100,"A|"&amp;$C54&amp;"|"&amp;$D54)&gt;0,SUMIFS(Subgroup_Overrides!$F$11:$F$100,Subgroup_Overrides!$H$11:$H$100,"A|"&amp;$C54&amp;"|"&amp;$D54),"")</f>
        <v/>
      </c>
      <c r="K54" s="36" t="str">
        <f aca="false">IF(COUNTIF(Subgroup_Overrides!$H$11:$H$100,"B|"&amp;$C54&amp;"|"&amp;$D54)&gt;0,SUMIFS(Subgroup_Overrides!$F$11:$F$100,Subgroup_Overrides!$H$11:$H$100,"B|"&amp;$C54&amp;"|"&amp;$D54),"")</f>
        <v/>
      </c>
      <c r="L54" s="36" t="str">
        <f aca="false">TRIM(B54)</f>
        <v>PROC</v>
      </c>
      <c r="M54" s="36" t="n">
        <f aca="false">IF($H54="","",1*$H54)</f>
        <v>0</v>
      </c>
      <c r="N54" s="36" t="n">
        <f aca="false">IF($I54="","",1*$I54)</f>
        <v>0</v>
      </c>
      <c r="O54" s="22" t="str">
        <f aca="false">IF($M54="","",$B54&amp;"|"&amp;ROUND($M54*1000000000000,0))</f>
        <v>PROC|0</v>
      </c>
      <c r="P54" s="22" t="str">
        <f aca="false">IF($N54="","",$B54&amp;"|"&amp;ROUND($N54*1000000000000,0))</f>
        <v>PROC|0</v>
      </c>
    </row>
    <row r="55" customFormat="false" ht="14.25" hidden="false" customHeight="true" outlineLevel="0" collapsed="false">
      <c r="A55" s="36" t="n">
        <v>54</v>
      </c>
      <c r="B55" s="36" t="s">
        <v>179</v>
      </c>
      <c r="C55" s="36" t="s">
        <v>765</v>
      </c>
      <c r="D55" s="36" t="s">
        <v>772</v>
      </c>
      <c r="E55" s="36" t="n">
        <v>-0.45</v>
      </c>
      <c r="F55" s="49" t="n">
        <f aca="false">INDEX(I_prop!$B$7:$H$13, MATCH($C55, I_prop!$A$7:$A$13,0), MATCH($D55, I_prop!$B$6:$H$6,0))</f>
        <v>0</v>
      </c>
      <c r="G55" s="49" t="n">
        <f aca="false">INDEX(I_prop!$B$18:$H$24, MATCH($C55, I_prop!$A$18:$A$24,0), MATCH($D55, I_prop!$B$17:$H$17,0))</f>
        <v>0</v>
      </c>
      <c r="H55" s="49" t="n">
        <f aca="false">IF($J55&lt;&gt;"",$J55,IF($F55&lt;0,MAX(-1,Subgroup_Overrides!$B$7*$F55),$F55))</f>
        <v>0</v>
      </c>
      <c r="I55" s="49" t="n">
        <f aca="false">IF($K55&lt;&gt;"",$K55,IF($G55&lt;0,MAX(-1,Subgroup_Overrides!$B$7*$G55),$G55))</f>
        <v>0</v>
      </c>
      <c r="J55" s="36" t="str">
        <f aca="false">IF(COUNTIF(Subgroup_Overrides!$H$11:$H$100,"A|"&amp;$C55&amp;"|"&amp;$D55)&gt;0,SUMIFS(Subgroup_Overrides!$F$11:$F$100,Subgroup_Overrides!$H$11:$H$100,"A|"&amp;$C55&amp;"|"&amp;$D55),"")</f>
        <v/>
      </c>
      <c r="K55" s="36" t="str">
        <f aca="false">IF(COUNTIF(Subgroup_Overrides!$H$11:$H$100,"B|"&amp;$C55&amp;"|"&amp;$D55)&gt;0,SUMIFS(Subgroup_Overrides!$F$11:$F$100,Subgroup_Overrides!$H$11:$H$100,"B|"&amp;$C55&amp;"|"&amp;$D55),"")</f>
        <v/>
      </c>
      <c r="L55" s="36" t="str">
        <f aca="false">TRIM(B55)</f>
        <v>PROC</v>
      </c>
      <c r="M55" s="36" t="n">
        <f aca="false">IF($H55="","",1*$H55)</f>
        <v>0</v>
      </c>
      <c r="N55" s="36" t="n">
        <f aca="false">IF($I55="","",1*$I55)</f>
        <v>0</v>
      </c>
      <c r="O55" s="22" t="str">
        <f aca="false">IF($M55="","",$B55&amp;"|"&amp;ROUND($M55*1000000000000,0))</f>
        <v>PROC|0</v>
      </c>
      <c r="P55" s="22" t="str">
        <f aca="false">IF($N55="","",$B55&amp;"|"&amp;ROUND($N55*1000000000000,0))</f>
        <v>PROC|0</v>
      </c>
    </row>
    <row r="56" customFormat="false" ht="14.25" hidden="false" customHeight="true" outlineLevel="0" collapsed="false">
      <c r="A56" s="36" t="n">
        <v>55</v>
      </c>
      <c r="B56" s="36" t="s">
        <v>179</v>
      </c>
      <c r="C56" s="36" t="s">
        <v>765</v>
      </c>
      <c r="D56" s="36" t="s">
        <v>769</v>
      </c>
      <c r="E56" s="36" t="n">
        <v>-0.45</v>
      </c>
      <c r="F56" s="49" t="n">
        <f aca="false">INDEX(I_prop!$B$7:$H$13, MATCH($C56, I_prop!$A$7:$A$13,0), MATCH($D56, I_prop!$B$6:$H$6,0))</f>
        <v>0</v>
      </c>
      <c r="G56" s="49" t="n">
        <f aca="false">INDEX(I_prop!$B$18:$H$24, MATCH($C56, I_prop!$A$18:$A$24,0), MATCH($D56, I_prop!$B$17:$H$17,0))</f>
        <v>0</v>
      </c>
      <c r="H56" s="49" t="n">
        <f aca="false">IF($J56&lt;&gt;"",$J56,IF($F56&lt;0,MAX(-1,Subgroup_Overrides!$B$7*$F56),$F56))</f>
        <v>0</v>
      </c>
      <c r="I56" s="49" t="n">
        <f aca="false">IF($K56&lt;&gt;"",$K56,IF($G56&lt;0,MAX(-1,Subgroup_Overrides!$B$7*$G56),$G56))</f>
        <v>0</v>
      </c>
      <c r="J56" s="36" t="str">
        <f aca="false">IF(COUNTIF(Subgroup_Overrides!$H$11:$H$100,"A|"&amp;$C56&amp;"|"&amp;$D56)&gt;0,SUMIFS(Subgroup_Overrides!$F$11:$F$100,Subgroup_Overrides!$H$11:$H$100,"A|"&amp;$C56&amp;"|"&amp;$D56),"")</f>
        <v/>
      </c>
      <c r="K56" s="36" t="str">
        <f aca="false">IF(COUNTIF(Subgroup_Overrides!$H$11:$H$100,"B|"&amp;$C56&amp;"|"&amp;$D56)&gt;0,SUMIFS(Subgroup_Overrides!$F$11:$F$100,Subgroup_Overrides!$H$11:$H$100,"B|"&amp;$C56&amp;"|"&amp;$D56),"")</f>
        <v/>
      </c>
      <c r="L56" s="36" t="str">
        <f aca="false">TRIM(B56)</f>
        <v>PROC</v>
      </c>
      <c r="M56" s="36" t="n">
        <f aca="false">IF($H56="","",1*$H56)</f>
        <v>0</v>
      </c>
      <c r="N56" s="36" t="n">
        <f aca="false">IF($I56="","",1*$I56)</f>
        <v>0</v>
      </c>
      <c r="O56" s="22" t="str">
        <f aca="false">IF($M56="","",$B56&amp;"|"&amp;ROUND($M56*1000000000000,0))</f>
        <v>PROC|0</v>
      </c>
      <c r="P56" s="22" t="str">
        <f aca="false">IF($N56="","",$B56&amp;"|"&amp;ROUND($N56*1000000000000,0))</f>
        <v>PROC|0</v>
      </c>
    </row>
    <row r="57" customFormat="false" ht="14.25" hidden="false" customHeight="true" outlineLevel="0" collapsed="false">
      <c r="A57" s="36" t="n">
        <v>56</v>
      </c>
      <c r="B57" s="36" t="s">
        <v>179</v>
      </c>
      <c r="C57" s="36" t="s">
        <v>766</v>
      </c>
      <c r="D57" s="36" t="s">
        <v>770</v>
      </c>
      <c r="E57" s="36" t="n">
        <v>-0.45</v>
      </c>
      <c r="F57" s="49" t="n">
        <f aca="false">INDEX(I_prop!$B$7:$H$13, MATCH($C57, I_prop!$A$7:$A$13,0), MATCH($D57, I_prop!$B$6:$H$6,0))</f>
        <v>0</v>
      </c>
      <c r="G57" s="49" t="n">
        <f aca="false">INDEX(I_prop!$B$18:$H$24, MATCH($C57, I_prop!$A$18:$A$24,0), MATCH($D57, I_prop!$B$17:$H$17,0))</f>
        <v>0</v>
      </c>
      <c r="H57" s="49" t="n">
        <f aca="false">IF($J57&lt;&gt;"",$J57,IF($F57&lt;0,MAX(-1,Subgroup_Overrides!$B$7*$F57),$F57))</f>
        <v>0</v>
      </c>
      <c r="I57" s="49" t="n">
        <f aca="false">IF($K57&lt;&gt;"",$K57,IF($G57&lt;0,MAX(-1,Subgroup_Overrides!$B$7*$G57),$G57))</f>
        <v>0</v>
      </c>
      <c r="J57" s="36" t="str">
        <f aca="false">IF(COUNTIF(Subgroup_Overrides!$H$11:$H$100,"A|"&amp;$C57&amp;"|"&amp;$D57)&gt;0,SUMIFS(Subgroup_Overrides!$F$11:$F$100,Subgroup_Overrides!$H$11:$H$100,"A|"&amp;$C57&amp;"|"&amp;$D57),"")</f>
        <v/>
      </c>
      <c r="K57" s="36" t="str">
        <f aca="false">IF(COUNTIF(Subgroup_Overrides!$H$11:$H$100,"B|"&amp;$C57&amp;"|"&amp;$D57)&gt;0,SUMIFS(Subgroup_Overrides!$F$11:$F$100,Subgroup_Overrides!$H$11:$H$100,"B|"&amp;$C57&amp;"|"&amp;$D57),"")</f>
        <v/>
      </c>
      <c r="L57" s="36" t="str">
        <f aca="false">TRIM(B57)</f>
        <v>PROC</v>
      </c>
      <c r="M57" s="36" t="n">
        <f aca="false">IF($H57="","",1*$H57)</f>
        <v>0</v>
      </c>
      <c r="N57" s="36" t="n">
        <f aca="false">IF($I57="","",1*$I57)</f>
        <v>0</v>
      </c>
      <c r="O57" s="22" t="str">
        <f aca="false">IF($M57="","",$B57&amp;"|"&amp;ROUND($M57*1000000000000,0))</f>
        <v>PROC|0</v>
      </c>
      <c r="P57" s="22" t="str">
        <f aca="false">IF($N57="","",$B57&amp;"|"&amp;ROUND($N57*1000000000000,0))</f>
        <v>PROC|0</v>
      </c>
    </row>
    <row r="58" customFormat="false" ht="14.25" hidden="false" customHeight="true" outlineLevel="0" collapsed="false">
      <c r="A58" s="36" t="n">
        <v>57</v>
      </c>
      <c r="B58" s="36" t="s">
        <v>179</v>
      </c>
      <c r="C58" s="36" t="s">
        <v>766</v>
      </c>
      <c r="D58" s="36" t="s">
        <v>772</v>
      </c>
      <c r="E58" s="36" t="n">
        <v>-0.45</v>
      </c>
      <c r="F58" s="49" t="n">
        <f aca="false">INDEX(I_prop!$B$7:$H$13, MATCH($C58, I_prop!$A$7:$A$13,0), MATCH($D58, I_prop!$B$6:$H$6,0))</f>
        <v>0</v>
      </c>
      <c r="G58" s="49" t="n">
        <f aca="false">INDEX(I_prop!$B$18:$H$24, MATCH($C58, I_prop!$A$18:$A$24,0), MATCH($D58, I_prop!$B$17:$H$17,0))</f>
        <v>0</v>
      </c>
      <c r="H58" s="49" t="n">
        <f aca="false">IF($J58&lt;&gt;"",$J58,IF($F58&lt;0,MAX(-1,Subgroup_Overrides!$B$7*$F58),$F58))</f>
        <v>0</v>
      </c>
      <c r="I58" s="49" t="n">
        <f aca="false">IF($K58&lt;&gt;"",$K58,IF($G58&lt;0,MAX(-1,Subgroup_Overrides!$B$7*$G58),$G58))</f>
        <v>0</v>
      </c>
      <c r="J58" s="36" t="str">
        <f aca="false">IF(COUNTIF(Subgroup_Overrides!$H$11:$H$100,"A|"&amp;$C58&amp;"|"&amp;$D58)&gt;0,SUMIFS(Subgroup_Overrides!$F$11:$F$100,Subgroup_Overrides!$H$11:$H$100,"A|"&amp;$C58&amp;"|"&amp;$D58),"")</f>
        <v/>
      </c>
      <c r="K58" s="36" t="str">
        <f aca="false">IF(COUNTIF(Subgroup_Overrides!$H$11:$H$100,"B|"&amp;$C58&amp;"|"&amp;$D58)&gt;0,SUMIFS(Subgroup_Overrides!$F$11:$F$100,Subgroup_Overrides!$H$11:$H$100,"B|"&amp;$C58&amp;"|"&amp;$D58),"")</f>
        <v/>
      </c>
      <c r="L58" s="36" t="str">
        <f aca="false">TRIM(B58)</f>
        <v>PROC</v>
      </c>
      <c r="M58" s="36" t="n">
        <f aca="false">IF($H58="","",1*$H58)</f>
        <v>0</v>
      </c>
      <c r="N58" s="36" t="n">
        <f aca="false">IF($I58="","",1*$I58)</f>
        <v>0</v>
      </c>
      <c r="O58" s="22" t="str">
        <f aca="false">IF($M58="","",$B58&amp;"|"&amp;ROUND($M58*1000000000000,0))</f>
        <v>PROC|0</v>
      </c>
      <c r="P58" s="22" t="str">
        <f aca="false">IF($N58="","",$B58&amp;"|"&amp;ROUND($N58*1000000000000,0))</f>
        <v>PROC|0</v>
      </c>
    </row>
    <row r="59" customFormat="false" ht="14.25" hidden="false" customHeight="true" outlineLevel="0" collapsed="false">
      <c r="A59" s="36" t="n">
        <v>58</v>
      </c>
      <c r="B59" s="36" t="s">
        <v>179</v>
      </c>
      <c r="C59" s="36" t="s">
        <v>766</v>
      </c>
      <c r="D59" s="36" t="s">
        <v>769</v>
      </c>
      <c r="E59" s="36" t="n">
        <v>-0.45</v>
      </c>
      <c r="F59" s="49" t="n">
        <f aca="false">INDEX(I_prop!$B$7:$H$13, MATCH($C59, I_prop!$A$7:$A$13,0), MATCH($D59, I_prop!$B$6:$H$6,0))</f>
        <v>0</v>
      </c>
      <c r="G59" s="49" t="n">
        <f aca="false">INDEX(I_prop!$B$18:$H$24, MATCH($C59, I_prop!$A$18:$A$24,0), MATCH($D59, I_prop!$B$17:$H$17,0))</f>
        <v>0</v>
      </c>
      <c r="H59" s="49" t="n">
        <f aca="false">IF($J59&lt;&gt;"",$J59,IF($F59&lt;0,MAX(-1,Subgroup_Overrides!$B$7*$F59),$F59))</f>
        <v>0</v>
      </c>
      <c r="I59" s="49" t="n">
        <f aca="false">IF($K59&lt;&gt;"",$K59,IF($G59&lt;0,MAX(-1,Subgroup_Overrides!$B$7*$G59),$G59))</f>
        <v>0</v>
      </c>
      <c r="J59" s="36" t="str">
        <f aca="false">IF(COUNTIF(Subgroup_Overrides!$H$11:$H$100,"A|"&amp;$C59&amp;"|"&amp;$D59)&gt;0,SUMIFS(Subgroup_Overrides!$F$11:$F$100,Subgroup_Overrides!$H$11:$H$100,"A|"&amp;$C59&amp;"|"&amp;$D59),"")</f>
        <v/>
      </c>
      <c r="K59" s="36" t="str">
        <f aca="false">IF(COUNTIF(Subgroup_Overrides!$H$11:$H$100,"B|"&amp;$C59&amp;"|"&amp;$D59)&gt;0,SUMIFS(Subgroup_Overrides!$F$11:$F$100,Subgroup_Overrides!$H$11:$H$100,"B|"&amp;$C59&amp;"|"&amp;$D59),"")</f>
        <v/>
      </c>
      <c r="L59" s="36" t="str">
        <f aca="false">TRIM(B59)</f>
        <v>PROC</v>
      </c>
      <c r="M59" s="36" t="n">
        <f aca="false">IF($H59="","",1*$H59)</f>
        <v>0</v>
      </c>
      <c r="N59" s="36" t="n">
        <f aca="false">IF($I59="","",1*$I59)</f>
        <v>0</v>
      </c>
      <c r="O59" s="22" t="str">
        <f aca="false">IF($M59="","",$B59&amp;"|"&amp;ROUND($M59*1000000000000,0))</f>
        <v>PROC|0</v>
      </c>
      <c r="P59" s="22" t="str">
        <f aca="false">IF($N59="","",$B59&amp;"|"&amp;ROUND($N59*1000000000000,0))</f>
        <v>PROC|0</v>
      </c>
    </row>
    <row r="60" customFormat="false" ht="14.25" hidden="false" customHeight="true" outlineLevel="0" collapsed="false">
      <c r="A60" s="36" t="n">
        <v>59</v>
      </c>
      <c r="B60" s="36" t="s">
        <v>180</v>
      </c>
      <c r="C60" s="36" t="s">
        <v>760</v>
      </c>
      <c r="D60" s="36" t="s">
        <v>772</v>
      </c>
      <c r="E60" s="36" t="n">
        <v>-0.4</v>
      </c>
      <c r="F60" s="49" t="n">
        <f aca="false">INDEX(I_prop!$B$7:$H$13, MATCH($C60, I_prop!$A$7:$A$13,0), MATCH($D60, I_prop!$B$6:$H$6,0))</f>
        <v>0</v>
      </c>
      <c r="G60" s="49" t="n">
        <f aca="false">INDEX(I_prop!$B$18:$H$24, MATCH($C60, I_prop!$A$18:$A$24,0), MATCH($D60, I_prop!$B$17:$H$17,0))</f>
        <v>0</v>
      </c>
      <c r="H60" s="49" t="n">
        <f aca="false">IF($J60&lt;&gt;"",$J60,IF($F60&lt;0,MAX(-1,Subgroup_Overrides!$B$7*$F60),$F60))</f>
        <v>0</v>
      </c>
      <c r="I60" s="49" t="n">
        <f aca="false">IF($K60&lt;&gt;"",$K60,IF($G60&lt;0,MAX(-1,Subgroup_Overrides!$B$7*$G60),$G60))</f>
        <v>0</v>
      </c>
      <c r="J60" s="36" t="str">
        <f aca="false">IF(COUNTIF(Subgroup_Overrides!$H$11:$H$100,"A|"&amp;$C60&amp;"|"&amp;$D60)&gt;0,SUMIFS(Subgroup_Overrides!$F$11:$F$100,Subgroup_Overrides!$H$11:$H$100,"A|"&amp;$C60&amp;"|"&amp;$D60),"")</f>
        <v/>
      </c>
      <c r="K60" s="36" t="str">
        <f aca="false">IF(COUNTIF(Subgroup_Overrides!$H$11:$H$100,"B|"&amp;$C60&amp;"|"&amp;$D60)&gt;0,SUMIFS(Subgroup_Overrides!$F$11:$F$100,Subgroup_Overrides!$H$11:$H$100,"B|"&amp;$C60&amp;"|"&amp;$D60),"")</f>
        <v/>
      </c>
      <c r="L60" s="36" t="str">
        <f aca="false">TRIM(B60)</f>
        <v>INFO</v>
      </c>
      <c r="M60" s="36" t="n">
        <f aca="false">IF($H60="","",1*$H60)</f>
        <v>0</v>
      </c>
      <c r="N60" s="36" t="n">
        <f aca="false">IF($I60="","",1*$I60)</f>
        <v>0</v>
      </c>
      <c r="O60" s="22" t="str">
        <f aca="false">IF($M60="","",$B60&amp;"|"&amp;ROUND($M60*1000000000000,0))</f>
        <v>INFO|0</v>
      </c>
      <c r="P60" s="22" t="str">
        <f aca="false">IF($N60="","",$B60&amp;"|"&amp;ROUND($N60*1000000000000,0))</f>
        <v>INFO|0</v>
      </c>
    </row>
    <row r="61" customFormat="false" ht="14.25" hidden="false" customHeight="true" outlineLevel="0" collapsed="false">
      <c r="A61" s="36" t="n">
        <v>60</v>
      </c>
      <c r="B61" s="36" t="s">
        <v>180</v>
      </c>
      <c r="C61" s="36" t="s">
        <v>760</v>
      </c>
      <c r="D61" s="36" t="s">
        <v>769</v>
      </c>
      <c r="E61" s="36" t="n">
        <v>-0.4</v>
      </c>
      <c r="F61" s="49" t="n">
        <f aca="false">INDEX(I_prop!$B$7:$H$13, MATCH($C61, I_prop!$A$7:$A$13,0), MATCH($D61, I_prop!$B$6:$H$6,0))</f>
        <v>0.249007884327423</v>
      </c>
      <c r="G61" s="49" t="n">
        <f aca="false">INDEX(I_prop!$B$18:$H$24, MATCH($C61, I_prop!$A$18:$A$24,0), MATCH($D61, I_prop!$B$17:$H$17,0))</f>
        <v>-0.0463335676706336</v>
      </c>
      <c r="H61" s="49" t="n">
        <f aca="false">IF($J61&lt;&gt;"",$J61,IF($F61&lt;0,MAX(-1,Subgroup_Overrides!$B$7*$F61),$F61))</f>
        <v>0.249007884327423</v>
      </c>
      <c r="I61" s="49" t="n">
        <f aca="false">IF($K61&lt;&gt;"",$K61,IF($G61&lt;0,MAX(-1,Subgroup_Overrides!$B$7*$G61),$G61))</f>
        <v>-0.15</v>
      </c>
      <c r="J61" s="36" t="str">
        <f aca="false">IF(COUNTIF(Subgroup_Overrides!$H$11:$H$100,"A|"&amp;$C61&amp;"|"&amp;$D61)&gt;0,SUMIFS(Subgroup_Overrides!$F$11:$F$100,Subgroup_Overrides!$H$11:$H$100,"A|"&amp;$C61&amp;"|"&amp;$D61),"")</f>
        <v/>
      </c>
      <c r="K61" s="36" t="n">
        <f aca="false">IF(COUNTIF(Subgroup_Overrides!$H$11:$H$100,"B|"&amp;$C61&amp;"|"&amp;$D61)&gt;0,SUMIFS(Subgroup_Overrides!$F$11:$F$100,Subgroup_Overrides!$H$11:$H$100,"B|"&amp;$C61&amp;"|"&amp;$D61),"")</f>
        <v>-0.15</v>
      </c>
      <c r="L61" s="36" t="str">
        <f aca="false">TRIM(B61)</f>
        <v>INFO</v>
      </c>
      <c r="M61" s="36" t="n">
        <f aca="false">IF($H61="","",1*$H61)</f>
        <v>0.249007884327423</v>
      </c>
      <c r="N61" s="36" t="n">
        <f aca="false">IF($I61="","",1*$I61)</f>
        <v>-0.15</v>
      </c>
      <c r="O61" s="22" t="str">
        <f aca="false">IF($M61="","",$B61&amp;"|"&amp;ROUND($M61*1000000000000,0))</f>
        <v>INFO|249007884327</v>
      </c>
      <c r="P61" s="22" t="str">
        <f aca="false">IF($N61="","",$B61&amp;"|"&amp;ROUND($N61*1000000000000,0))</f>
        <v>INFO|-150000000000</v>
      </c>
    </row>
    <row r="62" customFormat="false" ht="14.25" hidden="false" customHeight="true" outlineLevel="0" collapsed="false">
      <c r="A62" s="36" t="n">
        <v>61</v>
      </c>
      <c r="B62" s="36" t="s">
        <v>180</v>
      </c>
      <c r="C62" s="36" t="s">
        <v>762</v>
      </c>
      <c r="D62" s="36" t="s">
        <v>772</v>
      </c>
      <c r="E62" s="36" t="n">
        <v>-0.4</v>
      </c>
      <c r="F62" s="49" t="n">
        <f aca="false">INDEX(I_prop!$B$7:$H$13, MATCH($C62, I_prop!$A$7:$A$13,0), MATCH($D62, I_prop!$B$6:$H$6,0))</f>
        <v>0</v>
      </c>
      <c r="G62" s="49" t="n">
        <f aca="false">INDEX(I_prop!$B$18:$H$24, MATCH($C62, I_prop!$A$18:$A$24,0), MATCH($D62, I_prop!$B$17:$H$17,0))</f>
        <v>0</v>
      </c>
      <c r="H62" s="49" t="n">
        <f aca="false">IF($J62&lt;&gt;"",$J62,IF($F62&lt;0,MAX(-1,Subgroup_Overrides!$B$7*$F62),$F62))</f>
        <v>0</v>
      </c>
      <c r="I62" s="49" t="n">
        <f aca="false">IF($K62&lt;&gt;"",$K62,IF($G62&lt;0,MAX(-1,Subgroup_Overrides!$B$7*$G62),$G62))</f>
        <v>0</v>
      </c>
      <c r="J62" s="36" t="str">
        <f aca="false">IF(COUNTIF(Subgroup_Overrides!$H$11:$H$100,"A|"&amp;$C62&amp;"|"&amp;$D62)&gt;0,SUMIFS(Subgroup_Overrides!$F$11:$F$100,Subgroup_Overrides!$H$11:$H$100,"A|"&amp;$C62&amp;"|"&amp;$D62),"")</f>
        <v/>
      </c>
      <c r="K62" s="36" t="str">
        <f aca="false">IF(COUNTIF(Subgroup_Overrides!$H$11:$H$100,"B|"&amp;$C62&amp;"|"&amp;$D62)&gt;0,SUMIFS(Subgroup_Overrides!$F$11:$F$100,Subgroup_Overrides!$H$11:$H$100,"B|"&amp;$C62&amp;"|"&amp;$D62),"")</f>
        <v/>
      </c>
      <c r="L62" s="36" t="str">
        <f aca="false">TRIM(B62)</f>
        <v>INFO</v>
      </c>
      <c r="M62" s="36" t="n">
        <f aca="false">IF($H62="","",1*$H62)</f>
        <v>0</v>
      </c>
      <c r="N62" s="36" t="n">
        <f aca="false">IF($I62="","",1*$I62)</f>
        <v>0</v>
      </c>
      <c r="O62" s="22" t="str">
        <f aca="false">IF($M62="","",$B62&amp;"|"&amp;ROUND($M62*1000000000000,0))</f>
        <v>INFO|0</v>
      </c>
      <c r="P62" s="22" t="str">
        <f aca="false">IF($N62="","",$B62&amp;"|"&amp;ROUND($N62*1000000000000,0))</f>
        <v>INFO|0</v>
      </c>
    </row>
    <row r="63" customFormat="false" ht="14.25" hidden="false" customHeight="true" outlineLevel="0" collapsed="false">
      <c r="A63" s="36" t="n">
        <v>62</v>
      </c>
      <c r="B63" s="36" t="s">
        <v>180</v>
      </c>
      <c r="C63" s="36" t="s">
        <v>762</v>
      </c>
      <c r="D63" s="36" t="s">
        <v>769</v>
      </c>
      <c r="E63" s="36" t="n">
        <v>-0.4</v>
      </c>
      <c r="F63" s="49" t="n">
        <f aca="false">INDEX(I_prop!$B$7:$H$13, MATCH($C63, I_prop!$A$7:$A$13,0), MATCH($D63, I_prop!$B$6:$H$6,0))</f>
        <v>0</v>
      </c>
      <c r="G63" s="49" t="n">
        <f aca="false">INDEX(I_prop!$B$18:$H$24, MATCH($C63, I_prop!$A$18:$A$24,0), MATCH($D63, I_prop!$B$17:$H$17,0))</f>
        <v>0</v>
      </c>
      <c r="H63" s="49" t="n">
        <f aca="false">IF($J63&lt;&gt;"",$J63,IF($F63&lt;0,MAX(-1,Subgroup_Overrides!$B$7*$F63),$F63))</f>
        <v>0</v>
      </c>
      <c r="I63" s="49" t="n">
        <f aca="false">IF($K63&lt;&gt;"",$K63,IF($G63&lt;0,MAX(-1,Subgroup_Overrides!$B$7*$G63),$G63))</f>
        <v>0</v>
      </c>
      <c r="J63" s="36" t="str">
        <f aca="false">IF(COUNTIF(Subgroup_Overrides!$H$11:$H$100,"A|"&amp;$C63&amp;"|"&amp;$D63)&gt;0,SUMIFS(Subgroup_Overrides!$F$11:$F$100,Subgroup_Overrides!$H$11:$H$100,"A|"&amp;$C63&amp;"|"&amp;$D63),"")</f>
        <v/>
      </c>
      <c r="K63" s="36" t="str">
        <f aca="false">IF(COUNTIF(Subgroup_Overrides!$H$11:$H$100,"B|"&amp;$C63&amp;"|"&amp;$D63)&gt;0,SUMIFS(Subgroup_Overrides!$F$11:$F$100,Subgroup_Overrides!$H$11:$H$100,"B|"&amp;$C63&amp;"|"&amp;$D63),"")</f>
        <v/>
      </c>
      <c r="L63" s="36" t="str">
        <f aca="false">TRIM(B63)</f>
        <v>INFO</v>
      </c>
      <c r="M63" s="36" t="n">
        <f aca="false">IF($H63="","",1*$H63)</f>
        <v>0</v>
      </c>
      <c r="N63" s="36" t="n">
        <f aca="false">IF($I63="","",1*$I63)</f>
        <v>0</v>
      </c>
      <c r="O63" s="22" t="str">
        <f aca="false">IF($M63="","",$B63&amp;"|"&amp;ROUND($M63*1000000000000,0))</f>
        <v>INFO|0</v>
      </c>
      <c r="P63" s="22" t="str">
        <f aca="false">IF($N63="","",$B63&amp;"|"&amp;ROUND($N63*1000000000000,0))</f>
        <v>INFO|0</v>
      </c>
    </row>
    <row r="64" customFormat="false" ht="14.25" hidden="false" customHeight="true" outlineLevel="0" collapsed="false">
      <c r="A64" s="36" t="n">
        <v>63</v>
      </c>
      <c r="B64" s="36" t="s">
        <v>180</v>
      </c>
      <c r="C64" s="36" t="s">
        <v>763</v>
      </c>
      <c r="D64" s="36" t="s">
        <v>772</v>
      </c>
      <c r="E64" s="36" t="n">
        <v>-0.4</v>
      </c>
      <c r="F64" s="49" t="n">
        <f aca="false">INDEX(I_prop!$B$7:$H$13, MATCH($C64, I_prop!$A$7:$A$13,0), MATCH($D64, I_prop!$B$6:$H$6,0))</f>
        <v>0</v>
      </c>
      <c r="G64" s="49" t="n">
        <f aca="false">INDEX(I_prop!$B$18:$H$24, MATCH($C64, I_prop!$A$18:$A$24,0), MATCH($D64, I_prop!$B$17:$H$17,0))</f>
        <v>0</v>
      </c>
      <c r="H64" s="49" t="n">
        <f aca="false">IF($J64&lt;&gt;"",$J64,IF($F64&lt;0,MAX(-1,Subgroup_Overrides!$B$7*$F64),$F64))</f>
        <v>0</v>
      </c>
      <c r="I64" s="49" t="n">
        <f aca="false">IF($K64&lt;&gt;"",$K64,IF($G64&lt;0,MAX(-1,Subgroup_Overrides!$B$7*$G64),$G64))</f>
        <v>0</v>
      </c>
      <c r="J64" s="36" t="str">
        <f aca="false">IF(COUNTIF(Subgroup_Overrides!$H$11:$H$100,"A|"&amp;$C64&amp;"|"&amp;$D64)&gt;0,SUMIFS(Subgroup_Overrides!$F$11:$F$100,Subgroup_Overrides!$H$11:$H$100,"A|"&amp;$C64&amp;"|"&amp;$D64),"")</f>
        <v/>
      </c>
      <c r="K64" s="36" t="str">
        <f aca="false">IF(COUNTIF(Subgroup_Overrides!$H$11:$H$100,"B|"&amp;$C64&amp;"|"&amp;$D64)&gt;0,SUMIFS(Subgroup_Overrides!$F$11:$F$100,Subgroup_Overrides!$H$11:$H$100,"B|"&amp;$C64&amp;"|"&amp;$D64),"")</f>
        <v/>
      </c>
      <c r="L64" s="36" t="str">
        <f aca="false">TRIM(B64)</f>
        <v>INFO</v>
      </c>
      <c r="M64" s="36" t="n">
        <f aca="false">IF($H64="","",1*$H64)</f>
        <v>0</v>
      </c>
      <c r="N64" s="36" t="n">
        <f aca="false">IF($I64="","",1*$I64)</f>
        <v>0</v>
      </c>
      <c r="O64" s="22" t="str">
        <f aca="false">IF($M64="","",$B64&amp;"|"&amp;ROUND($M64*1000000000000,0))</f>
        <v>INFO|0</v>
      </c>
      <c r="P64" s="22" t="str">
        <f aca="false">IF($N64="","",$B64&amp;"|"&amp;ROUND($N64*1000000000000,0))</f>
        <v>INFO|0</v>
      </c>
    </row>
    <row r="65" customFormat="false" ht="14.25" hidden="false" customHeight="true" outlineLevel="0" collapsed="false">
      <c r="A65" s="36" t="n">
        <v>64</v>
      </c>
      <c r="B65" s="36" t="s">
        <v>180</v>
      </c>
      <c r="C65" s="36" t="s">
        <v>763</v>
      </c>
      <c r="D65" s="36" t="s">
        <v>769</v>
      </c>
      <c r="E65" s="36" t="n">
        <v>-0.4</v>
      </c>
      <c r="F65" s="49" t="n">
        <f aca="false">INDEX(I_prop!$B$7:$H$13, MATCH($C65, I_prop!$A$7:$A$13,0), MATCH($D65, I_prop!$B$6:$H$6,0))</f>
        <v>0</v>
      </c>
      <c r="G65" s="49" t="n">
        <f aca="false">INDEX(I_prop!$B$18:$H$24, MATCH($C65, I_prop!$A$18:$A$24,0), MATCH($D65, I_prop!$B$17:$H$17,0))</f>
        <v>0</v>
      </c>
      <c r="H65" s="49" t="n">
        <f aca="false">IF($J65&lt;&gt;"",$J65,IF($F65&lt;0,MAX(-1,Subgroup_Overrides!$B$7*$F65),$F65))</f>
        <v>0</v>
      </c>
      <c r="I65" s="49" t="n">
        <f aca="false">IF($K65&lt;&gt;"",$K65,IF($G65&lt;0,MAX(-1,Subgroup_Overrides!$B$7*$G65),$G65))</f>
        <v>0</v>
      </c>
      <c r="J65" s="36" t="str">
        <f aca="false">IF(COUNTIF(Subgroup_Overrides!$H$11:$H$100,"A|"&amp;$C65&amp;"|"&amp;$D65)&gt;0,SUMIFS(Subgroup_Overrides!$F$11:$F$100,Subgroup_Overrides!$H$11:$H$100,"A|"&amp;$C65&amp;"|"&amp;$D65),"")</f>
        <v/>
      </c>
      <c r="K65" s="36" t="str">
        <f aca="false">IF(COUNTIF(Subgroup_Overrides!$H$11:$H$100,"B|"&amp;$C65&amp;"|"&amp;$D65)&gt;0,SUMIFS(Subgroup_Overrides!$F$11:$F$100,Subgroup_Overrides!$H$11:$H$100,"B|"&amp;$C65&amp;"|"&amp;$D65),"")</f>
        <v/>
      </c>
      <c r="L65" s="36" t="str">
        <f aca="false">TRIM(B65)</f>
        <v>INFO</v>
      </c>
      <c r="M65" s="36" t="n">
        <f aca="false">IF($H65="","",1*$H65)</f>
        <v>0</v>
      </c>
      <c r="N65" s="36" t="n">
        <f aca="false">IF($I65="","",1*$I65)</f>
        <v>0</v>
      </c>
      <c r="O65" s="22" t="str">
        <f aca="false">IF($M65="","",$B65&amp;"|"&amp;ROUND($M65*1000000000000,0))</f>
        <v>INFO|0</v>
      </c>
      <c r="P65" s="22" t="str">
        <f aca="false">IF($N65="","",$B65&amp;"|"&amp;ROUND($N65*1000000000000,0))</f>
        <v>INFO|0</v>
      </c>
    </row>
    <row r="66" customFormat="false" ht="14.25" hidden="false" customHeight="true" outlineLevel="0" collapsed="false">
      <c r="A66" s="36" t="n">
        <v>65</v>
      </c>
      <c r="B66" s="36" t="s">
        <v>180</v>
      </c>
      <c r="C66" s="36" t="s">
        <v>764</v>
      </c>
      <c r="D66" s="36" t="s">
        <v>772</v>
      </c>
      <c r="E66" s="36" t="n">
        <v>-0.4</v>
      </c>
      <c r="F66" s="49" t="n">
        <f aca="false">INDEX(I_prop!$B$7:$H$13, MATCH($C66, I_prop!$A$7:$A$13,0), MATCH($D66, I_prop!$B$6:$H$6,0))</f>
        <v>0</v>
      </c>
      <c r="G66" s="49" t="n">
        <f aca="false">INDEX(I_prop!$B$18:$H$24, MATCH($C66, I_prop!$A$18:$A$24,0), MATCH($D66, I_prop!$B$17:$H$17,0))</f>
        <v>0</v>
      </c>
      <c r="H66" s="49" t="n">
        <f aca="false">IF($J66&lt;&gt;"",$J66,IF($F66&lt;0,MAX(-1,Subgroup_Overrides!$B$7*$F66),$F66))</f>
        <v>0</v>
      </c>
      <c r="I66" s="49" t="n">
        <f aca="false">IF($K66&lt;&gt;"",$K66,IF($G66&lt;0,MAX(-1,Subgroup_Overrides!$B$7*$G66),$G66))</f>
        <v>0</v>
      </c>
      <c r="J66" s="36" t="str">
        <f aca="false">IF(COUNTIF(Subgroup_Overrides!$H$11:$H$100,"A|"&amp;$C66&amp;"|"&amp;$D66)&gt;0,SUMIFS(Subgroup_Overrides!$F$11:$F$100,Subgroup_Overrides!$H$11:$H$100,"A|"&amp;$C66&amp;"|"&amp;$D66),"")</f>
        <v/>
      </c>
      <c r="K66" s="36" t="str">
        <f aca="false">IF(COUNTIF(Subgroup_Overrides!$H$11:$H$100,"B|"&amp;$C66&amp;"|"&amp;$D66)&gt;0,SUMIFS(Subgroup_Overrides!$F$11:$F$100,Subgroup_Overrides!$H$11:$H$100,"B|"&amp;$C66&amp;"|"&amp;$D66),"")</f>
        <v/>
      </c>
      <c r="L66" s="36" t="str">
        <f aca="false">TRIM(B66)</f>
        <v>INFO</v>
      </c>
      <c r="M66" s="36" t="n">
        <f aca="false">IF($H66="","",1*$H66)</f>
        <v>0</v>
      </c>
      <c r="N66" s="36" t="n">
        <f aca="false">IF($I66="","",1*$I66)</f>
        <v>0</v>
      </c>
      <c r="O66" s="22" t="str">
        <f aca="false">IF($M66="","",$B66&amp;"|"&amp;ROUND($M66*1000000000000,0))</f>
        <v>INFO|0</v>
      </c>
      <c r="P66" s="22" t="str">
        <f aca="false">IF($N66="","",$B66&amp;"|"&amp;ROUND($N66*1000000000000,0))</f>
        <v>INFO|0</v>
      </c>
    </row>
    <row r="67" customFormat="false" ht="14.25" hidden="false" customHeight="true" outlineLevel="0" collapsed="false">
      <c r="A67" s="36" t="n">
        <v>66</v>
      </c>
      <c r="B67" s="36" t="s">
        <v>180</v>
      </c>
      <c r="C67" s="36" t="s">
        <v>764</v>
      </c>
      <c r="D67" s="36" t="s">
        <v>769</v>
      </c>
      <c r="E67" s="36" t="n">
        <v>-0.4</v>
      </c>
      <c r="F67" s="49" t="n">
        <f aca="false">INDEX(I_prop!$B$7:$H$13, MATCH($C67, I_prop!$A$7:$A$13,0), MATCH($D67, I_prop!$B$6:$H$6,0))</f>
        <v>0</v>
      </c>
      <c r="G67" s="49" t="n">
        <f aca="false">INDEX(I_prop!$B$18:$H$24, MATCH($C67, I_prop!$A$18:$A$24,0), MATCH($D67, I_prop!$B$17:$H$17,0))</f>
        <v>0</v>
      </c>
      <c r="H67" s="49" t="n">
        <f aca="false">IF($J67&lt;&gt;"",$J67,IF($F67&lt;0,MAX(-1,Subgroup_Overrides!$B$7*$F67),$F67))</f>
        <v>0</v>
      </c>
      <c r="I67" s="49" t="n">
        <f aca="false">IF($K67&lt;&gt;"",$K67,IF($G67&lt;0,MAX(-1,Subgroup_Overrides!$B$7*$G67),$G67))</f>
        <v>0</v>
      </c>
      <c r="J67" s="36" t="str">
        <f aca="false">IF(COUNTIF(Subgroup_Overrides!$H$11:$H$100,"A|"&amp;$C67&amp;"|"&amp;$D67)&gt;0,SUMIFS(Subgroup_Overrides!$F$11:$F$100,Subgroup_Overrides!$H$11:$H$100,"A|"&amp;$C67&amp;"|"&amp;$D67),"")</f>
        <v/>
      </c>
      <c r="K67" s="36" t="str">
        <f aca="false">IF(COUNTIF(Subgroup_Overrides!$H$11:$H$100,"B|"&amp;$C67&amp;"|"&amp;$D67)&gt;0,SUMIFS(Subgroup_Overrides!$F$11:$F$100,Subgroup_Overrides!$H$11:$H$100,"B|"&amp;$C67&amp;"|"&amp;$D67),"")</f>
        <v/>
      </c>
      <c r="L67" s="36" t="str">
        <f aca="false">TRIM(B67)</f>
        <v>INFO</v>
      </c>
      <c r="M67" s="36" t="n">
        <f aca="false">IF($H67="","",1*$H67)</f>
        <v>0</v>
      </c>
      <c r="N67" s="36" t="n">
        <f aca="false">IF($I67="","",1*$I67)</f>
        <v>0</v>
      </c>
      <c r="O67" s="22" t="str">
        <f aca="false">IF($M67="","",$B67&amp;"|"&amp;ROUND($M67*1000000000000,0))</f>
        <v>INFO|0</v>
      </c>
      <c r="P67" s="22" t="str">
        <f aca="false">IF($N67="","",$B67&amp;"|"&amp;ROUND($N67*1000000000000,0))</f>
        <v>INFO|0</v>
      </c>
    </row>
    <row r="68" customFormat="false" ht="14.25" hidden="false" customHeight="true" outlineLevel="0" collapsed="false">
      <c r="A68" s="36" t="n">
        <v>67</v>
      </c>
      <c r="B68" s="36" t="s">
        <v>180</v>
      </c>
      <c r="C68" s="36" t="s">
        <v>765</v>
      </c>
      <c r="D68" s="36" t="s">
        <v>772</v>
      </c>
      <c r="E68" s="36" t="n">
        <v>-0.4</v>
      </c>
      <c r="F68" s="49" t="n">
        <f aca="false">INDEX(I_prop!$B$7:$H$13, MATCH($C68, I_prop!$A$7:$A$13,0), MATCH($D68, I_prop!$B$6:$H$6,0))</f>
        <v>0</v>
      </c>
      <c r="G68" s="49" t="n">
        <f aca="false">INDEX(I_prop!$B$18:$H$24, MATCH($C68, I_prop!$A$18:$A$24,0), MATCH($D68, I_prop!$B$17:$H$17,0))</f>
        <v>0</v>
      </c>
      <c r="H68" s="49" t="n">
        <f aca="false">IF($J68&lt;&gt;"",$J68,IF($F68&lt;0,MAX(-1,Subgroup_Overrides!$B$7*$F68),$F68))</f>
        <v>0</v>
      </c>
      <c r="I68" s="49" t="n">
        <f aca="false">IF($K68&lt;&gt;"",$K68,IF($G68&lt;0,MAX(-1,Subgroup_Overrides!$B$7*$G68),$G68))</f>
        <v>0</v>
      </c>
      <c r="J68" s="36" t="str">
        <f aca="false">IF(COUNTIF(Subgroup_Overrides!$H$11:$H$100,"A|"&amp;$C68&amp;"|"&amp;$D68)&gt;0,SUMIFS(Subgroup_Overrides!$F$11:$F$100,Subgroup_Overrides!$H$11:$H$100,"A|"&amp;$C68&amp;"|"&amp;$D68),"")</f>
        <v/>
      </c>
      <c r="K68" s="36" t="str">
        <f aca="false">IF(COUNTIF(Subgroup_Overrides!$H$11:$H$100,"B|"&amp;$C68&amp;"|"&amp;$D68)&gt;0,SUMIFS(Subgroup_Overrides!$F$11:$F$100,Subgroup_Overrides!$H$11:$H$100,"B|"&amp;$C68&amp;"|"&amp;$D68),"")</f>
        <v/>
      </c>
      <c r="L68" s="36" t="str">
        <f aca="false">TRIM(B68)</f>
        <v>INFO</v>
      </c>
      <c r="M68" s="36" t="n">
        <f aca="false">IF($H68="","",1*$H68)</f>
        <v>0</v>
      </c>
      <c r="N68" s="36" t="n">
        <f aca="false">IF($I68="","",1*$I68)</f>
        <v>0</v>
      </c>
      <c r="O68" s="22" t="str">
        <f aca="false">IF($M68="","",$B68&amp;"|"&amp;ROUND($M68*1000000000000,0))</f>
        <v>INFO|0</v>
      </c>
      <c r="P68" s="22" t="str">
        <f aca="false">IF($N68="","",$B68&amp;"|"&amp;ROUND($N68*1000000000000,0))</f>
        <v>INFO|0</v>
      </c>
    </row>
    <row r="69" customFormat="false" ht="14.25" hidden="false" customHeight="true" outlineLevel="0" collapsed="false">
      <c r="A69" s="36" t="n">
        <v>68</v>
      </c>
      <c r="B69" s="36" t="s">
        <v>180</v>
      </c>
      <c r="C69" s="36" t="s">
        <v>765</v>
      </c>
      <c r="D69" s="36" t="s">
        <v>769</v>
      </c>
      <c r="E69" s="36" t="n">
        <v>-0.4</v>
      </c>
      <c r="F69" s="49" t="n">
        <f aca="false">INDEX(I_prop!$B$7:$H$13, MATCH($C69, I_prop!$A$7:$A$13,0), MATCH($D69, I_prop!$B$6:$H$6,0))</f>
        <v>0</v>
      </c>
      <c r="G69" s="49" t="n">
        <f aca="false">INDEX(I_prop!$B$18:$H$24, MATCH($C69, I_prop!$A$18:$A$24,0), MATCH($D69, I_prop!$B$17:$H$17,0))</f>
        <v>0</v>
      </c>
      <c r="H69" s="49" t="n">
        <f aca="false">IF($J69&lt;&gt;"",$J69,IF($F69&lt;0,MAX(-1,Subgroup_Overrides!$B$7*$F69),$F69))</f>
        <v>0</v>
      </c>
      <c r="I69" s="49" t="n">
        <f aca="false">IF($K69&lt;&gt;"",$K69,IF($G69&lt;0,MAX(-1,Subgroup_Overrides!$B$7*$G69),$G69))</f>
        <v>0</v>
      </c>
      <c r="J69" s="36" t="str">
        <f aca="false">IF(COUNTIF(Subgroup_Overrides!$H$11:$H$100,"A|"&amp;$C69&amp;"|"&amp;$D69)&gt;0,SUMIFS(Subgroup_Overrides!$F$11:$F$100,Subgroup_Overrides!$H$11:$H$100,"A|"&amp;$C69&amp;"|"&amp;$D69),"")</f>
        <v/>
      </c>
      <c r="K69" s="36" t="str">
        <f aca="false">IF(COUNTIF(Subgroup_Overrides!$H$11:$H$100,"B|"&amp;$C69&amp;"|"&amp;$D69)&gt;0,SUMIFS(Subgroup_Overrides!$F$11:$F$100,Subgroup_Overrides!$H$11:$H$100,"B|"&amp;$C69&amp;"|"&amp;$D69),"")</f>
        <v/>
      </c>
      <c r="L69" s="36" t="str">
        <f aca="false">TRIM(B69)</f>
        <v>INFO</v>
      </c>
      <c r="M69" s="36" t="n">
        <f aca="false">IF($H69="","",1*$H69)</f>
        <v>0</v>
      </c>
      <c r="N69" s="36" t="n">
        <f aca="false">IF($I69="","",1*$I69)</f>
        <v>0</v>
      </c>
      <c r="O69" s="22" t="str">
        <f aca="false">IF($M69="","",$B69&amp;"|"&amp;ROUND($M69*1000000000000,0))</f>
        <v>INFO|0</v>
      </c>
      <c r="P69" s="22" t="str">
        <f aca="false">IF($N69="","",$B69&amp;"|"&amp;ROUND($N69*1000000000000,0))</f>
        <v>INFO|0</v>
      </c>
    </row>
    <row r="70" customFormat="false" ht="14.25" hidden="false" customHeight="true" outlineLevel="0" collapsed="false">
      <c r="A70" s="36" t="n">
        <v>69</v>
      </c>
      <c r="B70" s="36" t="s">
        <v>180</v>
      </c>
      <c r="C70" s="36" t="s">
        <v>766</v>
      </c>
      <c r="D70" s="36" t="s">
        <v>772</v>
      </c>
      <c r="E70" s="36" t="n">
        <v>-0.4</v>
      </c>
      <c r="F70" s="49" t="n">
        <f aca="false">INDEX(I_prop!$B$7:$H$13, MATCH($C70, I_prop!$A$7:$A$13,0), MATCH($D70, I_prop!$B$6:$H$6,0))</f>
        <v>0</v>
      </c>
      <c r="G70" s="49" t="n">
        <f aca="false">INDEX(I_prop!$B$18:$H$24, MATCH($C70, I_prop!$A$18:$A$24,0), MATCH($D70, I_prop!$B$17:$H$17,0))</f>
        <v>0</v>
      </c>
      <c r="H70" s="49" t="n">
        <f aca="false">IF($J70&lt;&gt;"",$J70,IF($F70&lt;0,MAX(-1,Subgroup_Overrides!$B$7*$F70),$F70))</f>
        <v>0</v>
      </c>
      <c r="I70" s="49" t="n">
        <f aca="false">IF($K70&lt;&gt;"",$K70,IF($G70&lt;0,MAX(-1,Subgroup_Overrides!$B$7*$G70),$G70))</f>
        <v>0</v>
      </c>
      <c r="J70" s="36" t="str">
        <f aca="false">IF(COUNTIF(Subgroup_Overrides!$H$11:$H$100,"A|"&amp;$C70&amp;"|"&amp;$D70)&gt;0,SUMIFS(Subgroup_Overrides!$F$11:$F$100,Subgroup_Overrides!$H$11:$H$100,"A|"&amp;$C70&amp;"|"&amp;$D70),"")</f>
        <v/>
      </c>
      <c r="K70" s="36" t="str">
        <f aca="false">IF(COUNTIF(Subgroup_Overrides!$H$11:$H$100,"B|"&amp;$C70&amp;"|"&amp;$D70)&gt;0,SUMIFS(Subgroup_Overrides!$F$11:$F$100,Subgroup_Overrides!$H$11:$H$100,"B|"&amp;$C70&amp;"|"&amp;$D70),"")</f>
        <v/>
      </c>
      <c r="L70" s="36" t="str">
        <f aca="false">TRIM(B70)</f>
        <v>INFO</v>
      </c>
      <c r="M70" s="36" t="n">
        <f aca="false">IF($H70="","",1*$H70)</f>
        <v>0</v>
      </c>
      <c r="N70" s="36" t="n">
        <f aca="false">IF($I70="","",1*$I70)</f>
        <v>0</v>
      </c>
      <c r="O70" s="22" t="str">
        <f aca="false">IF($M70="","",$B70&amp;"|"&amp;ROUND($M70*1000000000000,0))</f>
        <v>INFO|0</v>
      </c>
      <c r="P70" s="22" t="str">
        <f aca="false">IF($N70="","",$B70&amp;"|"&amp;ROUND($N70*1000000000000,0))</f>
        <v>INFO|0</v>
      </c>
    </row>
    <row r="71" customFormat="false" ht="14.25" hidden="false" customHeight="true" outlineLevel="0" collapsed="false">
      <c r="A71" s="36" t="n">
        <v>70</v>
      </c>
      <c r="B71" s="36" t="s">
        <v>180</v>
      </c>
      <c r="C71" s="36" t="s">
        <v>766</v>
      </c>
      <c r="D71" s="36" t="s">
        <v>769</v>
      </c>
      <c r="E71" s="36" t="n">
        <v>-0.4</v>
      </c>
      <c r="F71" s="49" t="n">
        <f aca="false">INDEX(I_prop!$B$7:$H$13, MATCH($C71, I_prop!$A$7:$A$13,0), MATCH($D71, I_prop!$B$6:$H$6,0))</f>
        <v>0</v>
      </c>
      <c r="G71" s="49" t="n">
        <f aca="false">INDEX(I_prop!$B$18:$H$24, MATCH($C71, I_prop!$A$18:$A$24,0), MATCH($D71, I_prop!$B$17:$H$17,0))</f>
        <v>0</v>
      </c>
      <c r="H71" s="49" t="n">
        <f aca="false">IF($J71&lt;&gt;"",$J71,IF($F71&lt;0,MAX(-1,Subgroup_Overrides!$B$7*$F71),$F71))</f>
        <v>0</v>
      </c>
      <c r="I71" s="49" t="n">
        <f aca="false">IF($K71&lt;&gt;"",$K71,IF($G71&lt;0,MAX(-1,Subgroup_Overrides!$B$7*$G71),$G71))</f>
        <v>0</v>
      </c>
      <c r="J71" s="36" t="str">
        <f aca="false">IF(COUNTIF(Subgroup_Overrides!$H$11:$H$100,"A|"&amp;$C71&amp;"|"&amp;$D71)&gt;0,SUMIFS(Subgroup_Overrides!$F$11:$F$100,Subgroup_Overrides!$H$11:$H$100,"A|"&amp;$C71&amp;"|"&amp;$D71),"")</f>
        <v/>
      </c>
      <c r="K71" s="36" t="str">
        <f aca="false">IF(COUNTIF(Subgroup_Overrides!$H$11:$H$100,"B|"&amp;$C71&amp;"|"&amp;$D71)&gt;0,SUMIFS(Subgroup_Overrides!$F$11:$F$100,Subgroup_Overrides!$H$11:$H$100,"B|"&amp;$C71&amp;"|"&amp;$D71),"")</f>
        <v/>
      </c>
      <c r="L71" s="36" t="str">
        <f aca="false">TRIM(B71)</f>
        <v>INFO</v>
      </c>
      <c r="M71" s="36" t="n">
        <f aca="false">IF($H71="","",1*$H71)</f>
        <v>0</v>
      </c>
      <c r="N71" s="36" t="n">
        <f aca="false">IF($I71="","",1*$I71)</f>
        <v>0</v>
      </c>
      <c r="O71" s="22" t="str">
        <f aca="false">IF($M71="","",$B71&amp;"|"&amp;ROUND($M71*1000000000000,0))</f>
        <v>INFO|0</v>
      </c>
      <c r="P71" s="22" t="str">
        <f aca="false">IF($N71="","",$B71&amp;"|"&amp;ROUND($N71*1000000000000,0))</f>
        <v>INFO|0</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2" min="1" style="1" width="36"/>
    <col collapsed="false" customWidth="true" hidden="false" outlineLevel="0" max="3" min="3" style="1" width="20"/>
    <col collapsed="false" customWidth="true" hidden="false" outlineLevel="0" max="4" min="4" style="1" width="21"/>
    <col collapsed="false" customWidth="true" hidden="false" outlineLevel="0" max="5" min="5" style="1" width="36"/>
    <col collapsed="false" customWidth="true" hidden="false" outlineLevel="0" max="8" min="6" style="2" width="10"/>
  </cols>
  <sheetData>
    <row r="1" customFormat="false" ht="14.25" hidden="false" customHeight="true" outlineLevel="0" collapsed="false">
      <c r="A1" s="39" t="s">
        <v>784</v>
      </c>
      <c r="B1" s="39"/>
      <c r="C1" s="39"/>
      <c r="D1" s="39"/>
      <c r="E1" s="39"/>
      <c r="F1" s="39"/>
      <c r="G1" s="39"/>
      <c r="H1" s="39"/>
    </row>
    <row r="2" customFormat="false" ht="13.5" hidden="false" customHeight="true" outlineLevel="0" collapsed="false">
      <c r="A2" s="5"/>
      <c r="B2" s="5"/>
      <c r="C2" s="5"/>
      <c r="D2" s="5"/>
      <c r="E2" s="5"/>
      <c r="F2" s="5"/>
      <c r="G2" s="5"/>
      <c r="H2" s="5"/>
    </row>
    <row r="3" customFormat="false" ht="14.25" hidden="false" customHeight="true" outlineLevel="0" collapsed="false">
      <c r="A3" s="36" t="s">
        <v>785</v>
      </c>
      <c r="B3" s="5"/>
      <c r="C3" s="5"/>
      <c r="D3" s="5"/>
      <c r="E3" s="5"/>
      <c r="F3" s="5"/>
      <c r="G3" s="5"/>
      <c r="H3" s="5"/>
    </row>
    <row r="4" customFormat="false" ht="14.25" hidden="false" customHeight="true" outlineLevel="0" collapsed="false">
      <c r="A4" s="37" t="s">
        <v>786</v>
      </c>
      <c r="B4" s="5"/>
      <c r="C4" s="5"/>
      <c r="D4" s="5"/>
      <c r="E4" s="5"/>
      <c r="F4" s="5"/>
      <c r="G4" s="5"/>
      <c r="H4" s="5"/>
    </row>
    <row r="5" customFormat="false" ht="13.5" hidden="false" customHeight="true" outlineLevel="0" collapsed="false">
      <c r="A5" s="5"/>
      <c r="B5" s="5"/>
      <c r="C5" s="5"/>
      <c r="D5" s="5"/>
      <c r="E5" s="5"/>
      <c r="F5" s="5"/>
      <c r="G5" s="5"/>
      <c r="H5" s="5"/>
    </row>
    <row r="6" customFormat="false" ht="14.25" hidden="false" customHeight="true" outlineLevel="0" collapsed="false">
      <c r="A6" s="37" t="s">
        <v>787</v>
      </c>
      <c r="B6" s="37" t="s">
        <v>696</v>
      </c>
      <c r="C6" s="37" t="s">
        <v>702</v>
      </c>
      <c r="D6" s="37" t="s">
        <v>788</v>
      </c>
      <c r="E6" s="37" t="s">
        <v>789</v>
      </c>
      <c r="F6" s="5"/>
      <c r="G6" s="5"/>
      <c r="H6" s="5"/>
    </row>
    <row r="7" customFormat="false" ht="14.25" hidden="false" customHeight="true" outlineLevel="0" collapsed="false">
      <c r="A7" s="36" t="s">
        <v>790</v>
      </c>
      <c r="B7" s="36" t="s">
        <v>766</v>
      </c>
      <c r="C7" s="36" t="s">
        <v>791</v>
      </c>
      <c r="D7" s="36" t="n">
        <v>0.35</v>
      </c>
      <c r="E7" s="36" t="s">
        <v>792</v>
      </c>
      <c r="F7" s="5"/>
      <c r="G7" s="5"/>
      <c r="H7" s="5"/>
    </row>
    <row r="8" customFormat="false" ht="14.25" hidden="false" customHeight="true" outlineLevel="0" collapsed="false">
      <c r="A8" s="36" t="s">
        <v>793</v>
      </c>
      <c r="B8" s="36" t="s">
        <v>766</v>
      </c>
      <c r="C8" s="36" t="s">
        <v>794</v>
      </c>
      <c r="D8" s="36" t="n">
        <v>0.3</v>
      </c>
      <c r="E8" s="36" t="s">
        <v>795</v>
      </c>
      <c r="F8" s="5"/>
      <c r="G8" s="5"/>
      <c r="H8" s="5"/>
    </row>
    <row r="9" customFormat="false" ht="14.25" hidden="false" customHeight="true" outlineLevel="0" collapsed="false">
      <c r="A9" s="36" t="s">
        <v>796</v>
      </c>
      <c r="B9" s="36" t="s">
        <v>768</v>
      </c>
      <c r="C9" s="36" t="s">
        <v>794</v>
      </c>
      <c r="D9" s="36" t="n">
        <v>0.35</v>
      </c>
      <c r="E9" s="36" t="s">
        <v>797</v>
      </c>
      <c r="F9" s="5"/>
      <c r="G9" s="5"/>
      <c r="H9" s="5"/>
    </row>
    <row r="10" customFormat="false" ht="13.5" hidden="false" customHeight="true" outlineLevel="0" collapsed="false">
      <c r="A10" s="5"/>
      <c r="B10" s="5"/>
      <c r="C10" s="5"/>
      <c r="D10" s="5"/>
      <c r="E10" s="5"/>
      <c r="F10" s="5"/>
      <c r="G10" s="5"/>
      <c r="H10" s="5"/>
    </row>
    <row r="11" customFormat="false" ht="14.25" hidden="false" customHeight="true" outlineLevel="0" collapsed="false">
      <c r="A11" s="36" t="s">
        <v>798</v>
      </c>
      <c r="B11" s="36" t="n">
        <f aca="false">SUM(D7:D9)</f>
        <v>1</v>
      </c>
      <c r="C11" s="36" t="s">
        <v>799</v>
      </c>
      <c r="D11" s="5"/>
      <c r="E11" s="5"/>
      <c r="F11" s="5"/>
      <c r="G11" s="5"/>
      <c r="H11" s="5"/>
    </row>
    <row r="12" customFormat="false" ht="13.5" hidden="false" customHeight="true" outlineLevel="0" collapsed="false">
      <c r="A12" s="5"/>
      <c r="B12" s="5"/>
      <c r="C12" s="5"/>
      <c r="D12" s="5"/>
      <c r="E12" s="5"/>
      <c r="F12" s="5"/>
      <c r="G12" s="5"/>
      <c r="H12" s="5"/>
    </row>
    <row r="13" customFormat="false" ht="14.25" hidden="false" customHeight="true" outlineLevel="0" collapsed="false">
      <c r="A13" s="37" t="s">
        <v>800</v>
      </c>
      <c r="B13" s="5"/>
      <c r="C13" s="5"/>
      <c r="D13" s="5"/>
      <c r="E13" s="5"/>
      <c r="F13" s="5"/>
      <c r="G13" s="5"/>
      <c r="H13" s="5"/>
    </row>
    <row r="14" customFormat="false" ht="33.75" hidden="false" customHeight="true" outlineLevel="0" collapsed="false">
      <c r="A14" s="36" t="s">
        <v>801</v>
      </c>
      <c r="B14" s="22" t="s">
        <v>802</v>
      </c>
      <c r="C14" s="22" t="s">
        <v>803</v>
      </c>
      <c r="D14" s="22" t="s">
        <v>804</v>
      </c>
      <c r="E14" s="22" t="s">
        <v>805</v>
      </c>
      <c r="F14" s="5"/>
      <c r="G14" s="5"/>
      <c r="H14" s="5"/>
    </row>
    <row r="15" customFormat="false" ht="33.75" hidden="false" customHeight="true" outlineLevel="0" collapsed="false">
      <c r="A15" s="36" t="s">
        <v>806</v>
      </c>
      <c r="B15" s="22" t="s">
        <v>807</v>
      </c>
      <c r="C15" s="22" t="s">
        <v>808</v>
      </c>
      <c r="D15" s="5"/>
      <c r="E15" s="5"/>
      <c r="F15" s="5"/>
      <c r="G15" s="5"/>
      <c r="H15" s="5"/>
    </row>
    <row r="16" customFormat="false" ht="14.25" hidden="false" customHeight="true" outlineLevel="0" collapsed="false">
      <c r="A16" s="36" t="s">
        <v>809</v>
      </c>
      <c r="B16" s="5"/>
      <c r="C16" s="5"/>
      <c r="D16" s="5"/>
      <c r="E16" s="5"/>
      <c r="F16" s="5"/>
      <c r="G16" s="5"/>
      <c r="H16" s="5"/>
    </row>
    <row r="17" customFormat="false" ht="14.25" hidden="false" customHeight="true" outlineLevel="0" collapsed="false">
      <c r="A17" s="36" t="s">
        <v>810</v>
      </c>
      <c r="B17" s="5"/>
      <c r="C17" s="5"/>
      <c r="D17" s="5"/>
      <c r="E17" s="5"/>
      <c r="F17" s="5"/>
      <c r="G17" s="5"/>
      <c r="H17" s="5"/>
    </row>
    <row r="18" customFormat="false" ht="13.5" hidden="false" customHeight="true" outlineLevel="0" collapsed="false">
      <c r="A18" s="5"/>
      <c r="B18" s="5"/>
      <c r="C18" s="5"/>
      <c r="D18" s="5"/>
      <c r="E18" s="5"/>
      <c r="F18" s="5"/>
      <c r="G18" s="5"/>
      <c r="H18" s="5"/>
    </row>
    <row r="19" customFormat="false" ht="14.25" hidden="false" customHeight="true" outlineLevel="0" collapsed="false">
      <c r="A19" s="36" t="s">
        <v>811</v>
      </c>
      <c r="B19" s="50" t="s">
        <v>812</v>
      </c>
      <c r="C19" s="5"/>
      <c r="D19" s="5"/>
      <c r="E19" s="5"/>
      <c r="F19" s="5"/>
      <c r="G19" s="5"/>
      <c r="H19" s="5"/>
    </row>
    <row r="20" customFormat="false" ht="57.45" hidden="false" customHeight="false" outlineLevel="0" collapsed="false">
      <c r="A20" s="51" t="s">
        <v>813</v>
      </c>
      <c r="B20" s="31" t="s">
        <v>814</v>
      </c>
      <c r="C20" s="31"/>
      <c r="D20" s="31"/>
      <c r="E20" s="31"/>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T8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2" min="1" style="2" width="36"/>
    <col collapsed="false" customWidth="true" hidden="false" outlineLevel="0" max="3" min="3" style="2" width="35"/>
    <col collapsed="false" customWidth="true" hidden="false" outlineLevel="0" max="4" min="4" style="2" width="36"/>
    <col collapsed="false" customWidth="true" hidden="false" outlineLevel="0" max="5" min="5" style="2" width="10"/>
    <col collapsed="false" customWidth="true" hidden="false" outlineLevel="0" max="7" min="6" style="2" width="36"/>
    <col collapsed="false" customWidth="true" hidden="false" outlineLevel="0" max="8" min="8" style="2" width="10"/>
  </cols>
  <sheetData>
    <row r="1" customFormat="false" ht="14.25" hidden="false" customHeight="true" outlineLevel="0" collapsed="false">
      <c r="A1" s="3" t="s">
        <v>815</v>
      </c>
      <c r="B1" s="3"/>
      <c r="C1" s="3"/>
      <c r="D1" s="3"/>
      <c r="E1" s="3"/>
      <c r="F1" s="3"/>
      <c r="G1" s="3"/>
      <c r="H1" s="3"/>
      <c r="I1" s="31"/>
      <c r="J1" s="31"/>
      <c r="K1" s="31"/>
      <c r="L1" s="31"/>
      <c r="M1" s="31"/>
      <c r="N1" s="31"/>
      <c r="O1" s="31"/>
      <c r="P1" s="31"/>
      <c r="Q1" s="31"/>
      <c r="R1" s="31"/>
      <c r="S1" s="31"/>
      <c r="T1" s="31"/>
    </row>
    <row r="2" customFormat="false" ht="13.5" hidden="false" customHeight="true" outlineLevel="0" collapsed="false">
      <c r="A2" s="5"/>
      <c r="B2" s="5"/>
      <c r="C2" s="5"/>
      <c r="D2" s="5"/>
      <c r="E2" s="5"/>
      <c r="F2" s="5"/>
      <c r="G2" s="5"/>
      <c r="H2" s="5"/>
      <c r="I2" s="31"/>
      <c r="J2" s="31"/>
      <c r="K2" s="31"/>
      <c r="L2" s="31"/>
      <c r="M2" s="31"/>
      <c r="N2" s="31"/>
      <c r="O2" s="31"/>
      <c r="P2" s="31"/>
      <c r="Q2" s="31"/>
      <c r="R2" s="31"/>
      <c r="S2" s="31"/>
      <c r="T2" s="31"/>
    </row>
    <row r="3" customFormat="false" ht="14.25" hidden="false" customHeight="true" outlineLevel="0" collapsed="false">
      <c r="A3" s="7" t="s">
        <v>816</v>
      </c>
      <c r="B3" s="5"/>
      <c r="C3" s="5"/>
      <c r="D3" s="5"/>
      <c r="E3" s="5"/>
      <c r="F3" s="5"/>
      <c r="G3" s="5"/>
      <c r="H3" s="5"/>
      <c r="I3" s="31"/>
      <c r="J3" s="31"/>
      <c r="K3" s="31"/>
      <c r="L3" s="31"/>
      <c r="M3" s="31"/>
      <c r="N3" s="31"/>
      <c r="O3" s="31"/>
      <c r="P3" s="31"/>
      <c r="Q3" s="31"/>
      <c r="R3" s="31"/>
      <c r="S3" s="31"/>
      <c r="T3" s="31"/>
    </row>
    <row r="4" customFormat="false" ht="33.75" hidden="false" customHeight="true" outlineLevel="0" collapsed="false">
      <c r="A4" s="7" t="s">
        <v>817</v>
      </c>
      <c r="B4" s="5"/>
      <c r="C4" s="5"/>
      <c r="D4" s="7" t="s">
        <v>818</v>
      </c>
      <c r="E4" s="5"/>
      <c r="F4" s="5"/>
      <c r="G4" s="5"/>
      <c r="H4" s="5"/>
      <c r="I4" s="31"/>
      <c r="J4" s="31"/>
      <c r="K4" s="31"/>
      <c r="L4" s="31"/>
      <c r="M4" s="31"/>
      <c r="N4" s="31"/>
      <c r="O4" s="31"/>
      <c r="P4" s="31"/>
      <c r="Q4" s="31"/>
      <c r="R4" s="31"/>
      <c r="S4" s="31"/>
      <c r="T4" s="31"/>
    </row>
    <row r="5" customFormat="false" ht="13.5" hidden="false" customHeight="true" outlineLevel="0" collapsed="false">
      <c r="A5" s="5"/>
      <c r="B5" s="5"/>
      <c r="C5" s="5"/>
      <c r="D5" s="5"/>
      <c r="E5" s="5"/>
      <c r="F5" s="5"/>
      <c r="G5" s="5"/>
      <c r="H5" s="5"/>
      <c r="I5" s="31"/>
      <c r="J5" s="31"/>
      <c r="K5" s="31"/>
      <c r="L5" s="31"/>
      <c r="M5" s="31"/>
      <c r="N5" s="31"/>
      <c r="O5" s="31"/>
      <c r="P5" s="31"/>
      <c r="Q5" s="31"/>
      <c r="R5" s="31"/>
      <c r="S5" s="31"/>
      <c r="T5" s="31"/>
    </row>
    <row r="6" customFormat="false" ht="14.25" hidden="false" customHeight="true" outlineLevel="0" collapsed="false">
      <c r="A6" s="23" t="s">
        <v>819</v>
      </c>
      <c r="B6" s="23" t="s">
        <v>820</v>
      </c>
      <c r="C6" s="23" t="s">
        <v>821</v>
      </c>
      <c r="D6" s="23" t="s">
        <v>822</v>
      </c>
      <c r="E6" s="23" t="s">
        <v>678</v>
      </c>
      <c r="F6" s="23" t="s">
        <v>244</v>
      </c>
      <c r="G6" s="7" t="s">
        <v>188</v>
      </c>
      <c r="H6" s="5"/>
      <c r="I6" s="31"/>
      <c r="J6" s="31"/>
      <c r="K6" s="31"/>
      <c r="L6" s="31"/>
      <c r="M6" s="31"/>
      <c r="N6" s="31"/>
      <c r="O6" s="31"/>
      <c r="P6" s="31"/>
      <c r="Q6" s="31"/>
      <c r="R6" s="31"/>
      <c r="S6" s="31"/>
      <c r="T6" s="31"/>
    </row>
    <row r="7" customFormat="false" ht="14.25" hidden="false" customHeight="true" outlineLevel="0" collapsed="false">
      <c r="A7" s="7" t="s">
        <v>189</v>
      </c>
      <c r="B7" s="7" t="s">
        <v>823</v>
      </c>
      <c r="C7" s="7" t="s">
        <v>824</v>
      </c>
      <c r="D7" s="7" t="n">
        <f aca="false">SUMIF(Scenario_Impacts!$B$11:$B$16,A7,Scenario_Impacts!$C$11:$C$16)</f>
        <v>0.08</v>
      </c>
      <c r="E7" s="7" t="n">
        <v>0.02</v>
      </c>
      <c r="F7" s="26" t="str">
        <f aca="false">IF(G7="NO","OPTIONAL",IF(D7&gt;=E7,"✓ COVERED","✗ MISSING"))</f>
        <v>✓ COVERED</v>
      </c>
      <c r="G7" s="7" t="str">
        <f aca="false">IF(A7="WTSL-AIX",IF(Config!$B$13="YES","YES","NO"),"YES")</f>
        <v>YES</v>
      </c>
      <c r="H7" s="5"/>
      <c r="I7" s="31"/>
      <c r="J7" s="31"/>
      <c r="K7" s="31"/>
      <c r="L7" s="31"/>
      <c r="M7" s="31"/>
      <c r="N7" s="31"/>
      <c r="O7" s="31"/>
      <c r="P7" s="31"/>
      <c r="Q7" s="31"/>
      <c r="R7" s="31"/>
      <c r="S7" s="31"/>
      <c r="T7" s="31"/>
    </row>
    <row r="8" customFormat="false" ht="14.25" hidden="false" customHeight="true" outlineLevel="0" collapsed="false">
      <c r="A8" s="7" t="s">
        <v>190</v>
      </c>
      <c r="B8" s="7" t="s">
        <v>825</v>
      </c>
      <c r="C8" s="7" t="s">
        <v>826</v>
      </c>
      <c r="D8" s="7" t="n">
        <f aca="false">SUMIF(Scenario_Impacts!$B$11:$B$16,A8,Scenario_Impacts!$C$11:$C$16)</f>
        <v>0.07</v>
      </c>
      <c r="E8" s="7" t="n">
        <v>0.02</v>
      </c>
      <c r="F8" s="26" t="str">
        <f aca="false">IF(G8="NO","OPTIONAL",IF(D8&gt;=E8,"✓ COVERED","✗ MISSING"))</f>
        <v>✓ COVERED</v>
      </c>
      <c r="G8" s="7" t="str">
        <f aca="false">IF(A8="WTSL-AIX",IF(Config!$B$13="YES","YES","NO"),"YES")</f>
        <v>YES</v>
      </c>
      <c r="H8" s="5"/>
      <c r="I8" s="31"/>
      <c r="J8" s="31"/>
      <c r="K8" s="31"/>
      <c r="L8" s="31"/>
      <c r="M8" s="31"/>
      <c r="N8" s="31"/>
      <c r="O8" s="31"/>
      <c r="P8" s="31"/>
      <c r="Q8" s="31"/>
      <c r="R8" s="31"/>
      <c r="S8" s="31"/>
      <c r="T8" s="31"/>
    </row>
    <row r="9" customFormat="false" ht="14.25" hidden="false" customHeight="true" outlineLevel="0" collapsed="false">
      <c r="A9" s="7" t="s">
        <v>191</v>
      </c>
      <c r="B9" s="7" t="s">
        <v>827</v>
      </c>
      <c r="C9" s="7" t="s">
        <v>828</v>
      </c>
      <c r="D9" s="7" t="n">
        <f aca="false">SUMIF(Scenario_Impacts!$B$11:$B$16,A9,Scenario_Impacts!$C$11:$C$16)</f>
        <v>0.15</v>
      </c>
      <c r="E9" s="7" t="n">
        <v>0.02</v>
      </c>
      <c r="F9" s="26" t="str">
        <f aca="false">IF(G9="NO","OPTIONAL",IF(D9&gt;=E9,"✓ COVERED","✗ MISSING"))</f>
        <v>✓ COVERED</v>
      </c>
      <c r="G9" s="7" t="str">
        <f aca="false">IF(A9="WTSL-AIX",IF(Config!$B$13="YES","YES","NO"),"YES")</f>
        <v>YES</v>
      </c>
      <c r="H9" s="5"/>
      <c r="I9" s="31"/>
      <c r="J9" s="31"/>
      <c r="K9" s="31"/>
      <c r="L9" s="31"/>
      <c r="M9" s="31"/>
      <c r="N9" s="31"/>
      <c r="O9" s="31"/>
      <c r="P9" s="31"/>
      <c r="Q9" s="31"/>
      <c r="R9" s="31"/>
      <c r="S9" s="31"/>
      <c r="T9" s="31"/>
    </row>
    <row r="10" customFormat="false" ht="14.25" hidden="false" customHeight="true" outlineLevel="0" collapsed="false">
      <c r="A10" s="7" t="s">
        <v>192</v>
      </c>
      <c r="B10" s="7" t="s">
        <v>829</v>
      </c>
      <c r="C10" s="7" t="s">
        <v>830</v>
      </c>
      <c r="D10" s="7" t="n">
        <f aca="false">SUMIF(Scenario_Impacts!$B$11:$B$16,A10,Scenario_Impacts!$C$11:$C$16)</f>
        <v>0.03</v>
      </c>
      <c r="E10" s="7" t="n">
        <v>0.02</v>
      </c>
      <c r="F10" s="26" t="str">
        <f aca="false">IF(G10="NO","OPTIONAL",IF(D10&gt;=E10,"✓ COVERED","✗ MISSING"))</f>
        <v>✓ COVERED</v>
      </c>
      <c r="G10" s="7" t="str">
        <f aca="false">IF(A10="WTSL-AIX",IF(Config!$B$13="YES","YES","NO"),"YES")</f>
        <v>YES</v>
      </c>
      <c r="H10" s="5"/>
      <c r="I10" s="31"/>
      <c r="J10" s="31"/>
      <c r="K10" s="31"/>
      <c r="L10" s="31"/>
      <c r="M10" s="31"/>
      <c r="N10" s="31"/>
      <c r="O10" s="31"/>
      <c r="P10" s="31"/>
      <c r="Q10" s="31"/>
      <c r="R10" s="31"/>
      <c r="S10" s="31"/>
      <c r="T10" s="31"/>
    </row>
    <row r="11" customFormat="false" ht="14.25" hidden="false" customHeight="true" outlineLevel="0" collapsed="false">
      <c r="A11" s="7" t="s">
        <v>193</v>
      </c>
      <c r="B11" s="7" t="s">
        <v>831</v>
      </c>
      <c r="C11" s="7" t="s">
        <v>832</v>
      </c>
      <c r="D11" s="7" t="n">
        <f aca="false">SUMIF(Scenario_Impacts!$B$11:$B$16,A11,Scenario_Impacts!$C$11:$C$16)</f>
        <v>0.05</v>
      </c>
      <c r="E11" s="7" t="n">
        <v>0.02</v>
      </c>
      <c r="F11" s="26" t="str">
        <f aca="false">IF(G11="NO","OPTIONAL",IF(D11&gt;=E11,"✓ COVERED","✗ MISSING"))</f>
        <v>✓ COVERED</v>
      </c>
      <c r="G11" s="7" t="str">
        <f aca="false">IF(A11="WTSL-AIX",IF(Config!$B$13="YES","YES","NO"),"YES")</f>
        <v>YES</v>
      </c>
      <c r="H11" s="5"/>
      <c r="I11" s="31"/>
      <c r="J11" s="31"/>
      <c r="K11" s="31"/>
      <c r="L11" s="31"/>
      <c r="M11" s="31"/>
      <c r="N11" s="31"/>
      <c r="O11" s="31"/>
      <c r="P11" s="31"/>
      <c r="Q11" s="31"/>
      <c r="R11" s="31"/>
      <c r="S11" s="31"/>
      <c r="T11" s="31"/>
    </row>
    <row r="12" customFormat="false" ht="14.25" hidden="false" customHeight="true" outlineLevel="0" collapsed="false">
      <c r="A12" s="7" t="s">
        <v>194</v>
      </c>
      <c r="B12" s="7" t="s">
        <v>833</v>
      </c>
      <c r="C12" s="7" t="s">
        <v>834</v>
      </c>
      <c r="D12" s="7" t="n">
        <f aca="false">SUMIF(Scenario_Impacts!$B$11:$B$16,A12,Scenario_Impacts!$C$11:$C$16)</f>
        <v>0.02</v>
      </c>
      <c r="E12" s="7" t="n">
        <v>0.02</v>
      </c>
      <c r="F12" s="26" t="s">
        <v>835</v>
      </c>
      <c r="G12" s="7" t="s">
        <v>836</v>
      </c>
      <c r="H12" s="5"/>
      <c r="I12" s="31"/>
      <c r="J12" s="31"/>
      <c r="K12" s="31"/>
      <c r="L12" s="31"/>
      <c r="M12" s="31"/>
      <c r="N12" s="31"/>
      <c r="O12" s="31"/>
      <c r="P12" s="31"/>
      <c r="Q12" s="31"/>
      <c r="R12" s="31"/>
      <c r="S12" s="31"/>
      <c r="T12" s="31"/>
    </row>
    <row r="13" customFormat="false" ht="13.5" hidden="false" customHeight="true" outlineLevel="0" collapsed="false">
      <c r="A13" s="5"/>
      <c r="B13" s="5"/>
      <c r="C13" s="5"/>
      <c r="D13" s="5"/>
      <c r="E13" s="5"/>
      <c r="F13" s="5"/>
      <c r="G13" s="5"/>
      <c r="H13" s="5"/>
      <c r="I13" s="31"/>
      <c r="J13" s="31"/>
      <c r="K13" s="31"/>
      <c r="L13" s="31"/>
      <c r="M13" s="31"/>
      <c r="N13" s="31"/>
      <c r="O13" s="31"/>
      <c r="P13" s="31"/>
      <c r="Q13" s="31"/>
      <c r="R13" s="31"/>
      <c r="S13" s="31"/>
      <c r="T13" s="31"/>
    </row>
    <row r="14" customFormat="false" ht="13.5" hidden="false" customHeight="true" outlineLevel="0" collapsed="false">
      <c r="A14" s="5"/>
      <c r="B14" s="5"/>
      <c r="C14" s="5"/>
      <c r="D14" s="5"/>
      <c r="E14" s="5"/>
      <c r="F14" s="5"/>
      <c r="G14" s="5"/>
      <c r="H14" s="5"/>
      <c r="I14" s="31"/>
      <c r="J14" s="31"/>
      <c r="K14" s="31"/>
      <c r="L14" s="31"/>
      <c r="M14" s="31"/>
      <c r="N14" s="31"/>
      <c r="O14" s="31"/>
      <c r="P14" s="31"/>
      <c r="Q14" s="31"/>
      <c r="R14" s="31"/>
      <c r="S14" s="31"/>
      <c r="T14" s="31"/>
    </row>
    <row r="15" customFormat="false" ht="14.25" hidden="false" customHeight="true" outlineLevel="0" collapsed="false">
      <c r="A15" s="23" t="s">
        <v>837</v>
      </c>
      <c r="B15" s="5"/>
      <c r="C15" s="5"/>
      <c r="D15" s="5"/>
      <c r="E15" s="5"/>
      <c r="F15" s="5"/>
      <c r="G15" s="5"/>
      <c r="H15" s="5"/>
      <c r="I15" s="31"/>
      <c r="J15" s="31"/>
      <c r="K15" s="31"/>
      <c r="L15" s="31"/>
      <c r="M15" s="31"/>
      <c r="N15" s="31"/>
      <c r="O15" s="31"/>
      <c r="P15" s="31"/>
      <c r="Q15" s="31"/>
      <c r="R15" s="31"/>
      <c r="S15" s="31"/>
      <c r="T15" s="31"/>
    </row>
    <row r="16" customFormat="false" ht="14.25" hidden="false" customHeight="true" outlineLevel="0" collapsed="false">
      <c r="A16" s="7" t="s">
        <v>838</v>
      </c>
      <c r="B16" s="26" t="n">
        <f aca="false">CANON!B41</f>
        <v>5</v>
      </c>
      <c r="C16" s="7" t="s">
        <v>839</v>
      </c>
      <c r="D16" s="5"/>
      <c r="E16" s="5"/>
      <c r="F16" s="5"/>
      <c r="G16" s="5"/>
      <c r="H16" s="5"/>
      <c r="I16" s="31"/>
      <c r="J16" s="31"/>
      <c r="K16" s="31"/>
      <c r="L16" s="31"/>
      <c r="M16" s="31"/>
      <c r="N16" s="31"/>
      <c r="O16" s="31"/>
      <c r="P16" s="31"/>
      <c r="Q16" s="31"/>
      <c r="R16" s="31"/>
      <c r="S16" s="31"/>
      <c r="T16" s="31"/>
    </row>
    <row r="17" customFormat="false" ht="14.25" hidden="false" customHeight="true" outlineLevel="0" collapsed="false">
      <c r="A17" s="7" t="s">
        <v>840</v>
      </c>
      <c r="B17" s="26" t="n">
        <v>5</v>
      </c>
      <c r="C17" s="5" t="s">
        <v>841</v>
      </c>
      <c r="D17" s="5"/>
      <c r="E17" s="5"/>
      <c r="F17" s="5"/>
      <c r="G17" s="5"/>
      <c r="H17" s="5"/>
      <c r="I17" s="31"/>
      <c r="J17" s="31"/>
      <c r="K17" s="31"/>
      <c r="L17" s="31"/>
      <c r="M17" s="31"/>
      <c r="N17" s="31"/>
      <c r="O17" s="31"/>
      <c r="P17" s="31"/>
      <c r="Q17" s="31"/>
      <c r="R17" s="31"/>
      <c r="S17" s="31"/>
      <c r="T17" s="31"/>
    </row>
    <row r="18" customFormat="false" ht="21.75" hidden="false" customHeight="true" outlineLevel="0" collapsed="false">
      <c r="A18" s="7" t="s">
        <v>842</v>
      </c>
      <c r="B18" s="7" t="n">
        <v>0.38</v>
      </c>
      <c r="C18" s="7" t="s">
        <v>843</v>
      </c>
      <c r="D18" s="5"/>
      <c r="E18" s="5"/>
      <c r="F18" s="5"/>
      <c r="G18" s="5"/>
      <c r="H18" s="5"/>
      <c r="I18" s="31"/>
      <c r="J18" s="31"/>
      <c r="K18" s="31"/>
      <c r="L18" s="31"/>
      <c r="M18" s="31"/>
      <c r="N18" s="31"/>
      <c r="O18" s="31"/>
      <c r="P18" s="31"/>
      <c r="Q18" s="31"/>
      <c r="R18" s="31"/>
      <c r="S18" s="31"/>
      <c r="T18" s="31"/>
    </row>
    <row r="19" customFormat="false" ht="12.75" hidden="false" customHeight="false" outlineLevel="0" collapsed="false">
      <c r="A19" s="31" t="s">
        <v>844</v>
      </c>
      <c r="B19" s="31"/>
      <c r="C19" s="31"/>
      <c r="D19" s="31"/>
      <c r="E19" s="31"/>
      <c r="F19" s="31"/>
      <c r="G19" s="31"/>
      <c r="H19" s="31"/>
      <c r="I19" s="31"/>
      <c r="J19" s="31"/>
      <c r="K19" s="31"/>
      <c r="L19" s="31"/>
      <c r="M19" s="31"/>
      <c r="N19" s="31"/>
      <c r="O19" s="31"/>
      <c r="P19" s="31"/>
      <c r="Q19" s="31"/>
      <c r="R19" s="31"/>
      <c r="S19" s="31"/>
      <c r="T19" s="31"/>
    </row>
    <row r="20" customFormat="false" ht="46.25" hidden="false" customHeight="false" outlineLevel="0" collapsed="false">
      <c r="A20" s="31" t="s">
        <v>845</v>
      </c>
      <c r="B20" s="31" t="s">
        <v>846</v>
      </c>
      <c r="C20" s="31"/>
      <c r="D20" s="31"/>
      <c r="E20" s="31"/>
      <c r="F20" s="31"/>
      <c r="G20" s="31"/>
      <c r="H20" s="31"/>
      <c r="I20" s="31"/>
      <c r="J20" s="31"/>
      <c r="K20" s="31"/>
      <c r="L20" s="31"/>
      <c r="M20" s="31"/>
      <c r="N20" s="31"/>
      <c r="O20" s="31"/>
      <c r="P20" s="31"/>
      <c r="Q20" s="31"/>
      <c r="R20" s="31"/>
      <c r="S20" s="31"/>
      <c r="T20" s="31"/>
    </row>
    <row r="21" customFormat="false" ht="46.25" hidden="false" customHeight="false" outlineLevel="0" collapsed="false">
      <c r="A21" s="31" t="s">
        <v>847</v>
      </c>
      <c r="B21" s="31" t="s">
        <v>848</v>
      </c>
      <c r="C21" s="31"/>
      <c r="D21" s="31"/>
      <c r="E21" s="31"/>
      <c r="F21" s="31"/>
      <c r="G21" s="31"/>
      <c r="H21" s="31"/>
      <c r="I21" s="31"/>
      <c r="J21" s="31"/>
      <c r="K21" s="31"/>
      <c r="L21" s="31"/>
      <c r="M21" s="31"/>
      <c r="N21" s="31"/>
      <c r="O21" s="31"/>
      <c r="P21" s="31"/>
      <c r="Q21" s="31"/>
      <c r="R21" s="31"/>
      <c r="S21" s="31"/>
      <c r="T21" s="31"/>
    </row>
    <row r="22" customFormat="false" ht="46.25" hidden="false" customHeight="false" outlineLevel="0" collapsed="false">
      <c r="A22" s="31" t="s">
        <v>849</v>
      </c>
      <c r="B22" s="31" t="s">
        <v>850</v>
      </c>
      <c r="C22" s="31"/>
      <c r="D22" s="31"/>
      <c r="E22" s="31"/>
      <c r="F22" s="31"/>
      <c r="G22" s="31"/>
      <c r="H22" s="31"/>
      <c r="I22" s="31"/>
      <c r="J22" s="31"/>
      <c r="K22" s="31"/>
      <c r="L22" s="31"/>
      <c r="M22" s="31"/>
      <c r="N22" s="31"/>
      <c r="O22" s="31"/>
      <c r="P22" s="31"/>
      <c r="Q22" s="31"/>
      <c r="R22" s="31"/>
      <c r="S22" s="31"/>
      <c r="T22" s="31"/>
    </row>
    <row r="23" customFormat="false" ht="12.75" hidden="false" customHeight="false" outlineLevel="0" collapsed="false">
      <c r="A23" s="31"/>
      <c r="B23" s="31"/>
      <c r="C23" s="31"/>
      <c r="D23" s="31"/>
      <c r="E23" s="31"/>
      <c r="F23" s="31"/>
      <c r="G23" s="31"/>
      <c r="H23" s="31"/>
      <c r="I23" s="31"/>
      <c r="J23" s="31"/>
      <c r="K23" s="31"/>
      <c r="L23" s="31"/>
      <c r="M23" s="31"/>
      <c r="N23" s="31"/>
      <c r="O23" s="31"/>
      <c r="P23" s="31"/>
      <c r="Q23" s="31"/>
      <c r="R23" s="31"/>
      <c r="S23" s="31"/>
      <c r="T23" s="31"/>
    </row>
    <row r="24" customFormat="false" ht="12.75" hidden="false" customHeight="false" outlineLevel="0" collapsed="false">
      <c r="A24" s="31"/>
      <c r="B24" s="31"/>
      <c r="C24" s="31"/>
      <c r="D24" s="31"/>
      <c r="E24" s="31"/>
      <c r="F24" s="31"/>
      <c r="G24" s="31"/>
      <c r="H24" s="31"/>
      <c r="I24" s="31"/>
      <c r="J24" s="31"/>
      <c r="K24" s="31"/>
      <c r="L24" s="31"/>
      <c r="M24" s="31"/>
      <c r="N24" s="31"/>
      <c r="O24" s="31"/>
      <c r="P24" s="31"/>
      <c r="Q24" s="31"/>
      <c r="R24" s="31"/>
      <c r="S24" s="31"/>
      <c r="T24" s="31"/>
    </row>
    <row r="25" customFormat="false" ht="12.75" hidden="false" customHeight="false" outlineLevel="0" collapsed="false">
      <c r="A25" s="31"/>
      <c r="B25" s="31"/>
      <c r="C25" s="31"/>
      <c r="D25" s="31"/>
      <c r="E25" s="31"/>
      <c r="F25" s="31"/>
      <c r="G25" s="31"/>
      <c r="H25" s="31"/>
      <c r="I25" s="31"/>
      <c r="J25" s="31"/>
      <c r="K25" s="31"/>
      <c r="L25" s="31"/>
      <c r="M25" s="31"/>
      <c r="N25" s="31"/>
      <c r="O25" s="31"/>
      <c r="P25" s="31"/>
      <c r="Q25" s="31"/>
      <c r="R25" s="31"/>
      <c r="S25" s="31"/>
      <c r="T25" s="31"/>
    </row>
    <row r="26" customFormat="false" ht="12.75" hidden="false" customHeight="false" outlineLevel="0" collapsed="false">
      <c r="A26" s="31"/>
      <c r="B26" s="31"/>
      <c r="C26" s="31"/>
      <c r="D26" s="31"/>
      <c r="E26" s="31"/>
      <c r="F26" s="31"/>
      <c r="G26" s="31"/>
      <c r="H26" s="31"/>
      <c r="I26" s="31"/>
      <c r="J26" s="31"/>
      <c r="K26" s="31"/>
      <c r="L26" s="31"/>
      <c r="M26" s="31"/>
      <c r="N26" s="31"/>
      <c r="O26" s="31"/>
      <c r="P26" s="31"/>
      <c r="Q26" s="31"/>
      <c r="R26" s="31"/>
      <c r="S26" s="31"/>
      <c r="T26" s="31"/>
    </row>
    <row r="27" customFormat="false" ht="12.75" hidden="false" customHeight="false" outlineLevel="0" collapsed="false">
      <c r="A27" s="31"/>
      <c r="B27" s="31"/>
      <c r="C27" s="31"/>
      <c r="D27" s="31"/>
      <c r="E27" s="31"/>
      <c r="F27" s="31"/>
      <c r="G27" s="31"/>
      <c r="H27" s="31"/>
      <c r="I27" s="31"/>
      <c r="J27" s="31"/>
      <c r="K27" s="31"/>
      <c r="L27" s="31"/>
      <c r="M27" s="31"/>
      <c r="N27" s="31"/>
      <c r="O27" s="31"/>
      <c r="P27" s="31"/>
      <c r="Q27" s="31"/>
      <c r="R27" s="31"/>
      <c r="S27" s="31"/>
      <c r="T27" s="31"/>
    </row>
    <row r="28" customFormat="false" ht="12.75" hidden="false" customHeight="false" outlineLevel="0" collapsed="false">
      <c r="A28" s="31"/>
      <c r="B28" s="31"/>
      <c r="C28" s="31"/>
      <c r="D28" s="31"/>
      <c r="E28" s="31"/>
      <c r="F28" s="31"/>
      <c r="G28" s="31"/>
      <c r="H28" s="31"/>
      <c r="I28" s="31"/>
      <c r="J28" s="31"/>
      <c r="K28" s="31"/>
      <c r="L28" s="31"/>
      <c r="M28" s="31"/>
      <c r="N28" s="31"/>
      <c r="O28" s="31"/>
      <c r="P28" s="31"/>
      <c r="Q28" s="31"/>
      <c r="R28" s="31"/>
      <c r="S28" s="31"/>
      <c r="T28" s="31"/>
    </row>
    <row r="29" customFormat="false" ht="12.75" hidden="false" customHeight="false" outlineLevel="0" collapsed="false">
      <c r="A29" s="31"/>
      <c r="B29" s="31"/>
      <c r="C29" s="31"/>
      <c r="D29" s="31"/>
      <c r="E29" s="31"/>
      <c r="F29" s="31"/>
      <c r="G29" s="31"/>
      <c r="H29" s="31"/>
      <c r="I29" s="31"/>
      <c r="J29" s="31"/>
      <c r="K29" s="31"/>
      <c r="L29" s="31"/>
      <c r="M29" s="31"/>
      <c r="N29" s="31"/>
      <c r="O29" s="31"/>
      <c r="P29" s="31"/>
      <c r="Q29" s="31"/>
      <c r="R29" s="31"/>
      <c r="S29" s="31"/>
      <c r="T29" s="31"/>
    </row>
    <row r="30" customFormat="false" ht="12.75" hidden="false" customHeight="false" outlineLevel="0" collapsed="false">
      <c r="A30" s="31"/>
      <c r="B30" s="31"/>
      <c r="C30" s="31"/>
      <c r="D30" s="31"/>
      <c r="E30" s="31"/>
      <c r="F30" s="31"/>
      <c r="G30" s="31"/>
      <c r="H30" s="31"/>
      <c r="I30" s="31"/>
      <c r="J30" s="31"/>
      <c r="K30" s="31"/>
      <c r="L30" s="31"/>
      <c r="M30" s="31"/>
      <c r="N30" s="31"/>
      <c r="O30" s="31"/>
      <c r="P30" s="31"/>
      <c r="Q30" s="31"/>
      <c r="R30" s="31"/>
      <c r="S30" s="31"/>
      <c r="T30" s="31"/>
    </row>
    <row r="31" customFormat="false" ht="12.75" hidden="false" customHeight="false" outlineLevel="0" collapsed="false">
      <c r="A31" s="31"/>
      <c r="B31" s="31"/>
      <c r="C31" s="31"/>
      <c r="D31" s="31"/>
      <c r="E31" s="31"/>
      <c r="F31" s="31"/>
      <c r="G31" s="31"/>
      <c r="H31" s="31"/>
      <c r="I31" s="31"/>
      <c r="J31" s="31"/>
      <c r="K31" s="31"/>
      <c r="L31" s="31"/>
      <c r="M31" s="31"/>
      <c r="N31" s="31"/>
      <c r="O31" s="31"/>
      <c r="P31" s="31"/>
      <c r="Q31" s="31"/>
      <c r="R31" s="31"/>
      <c r="S31" s="31"/>
      <c r="T31" s="31"/>
    </row>
    <row r="32" customFormat="false" ht="12.75" hidden="false" customHeight="false" outlineLevel="0" collapsed="false">
      <c r="A32" s="31"/>
      <c r="B32" s="31"/>
      <c r="C32" s="31"/>
      <c r="D32" s="31"/>
      <c r="E32" s="31"/>
      <c r="F32" s="31"/>
      <c r="G32" s="31"/>
      <c r="H32" s="31"/>
      <c r="I32" s="31"/>
      <c r="J32" s="31"/>
      <c r="K32" s="31"/>
      <c r="L32" s="31"/>
      <c r="M32" s="31"/>
      <c r="N32" s="31"/>
      <c r="O32" s="31"/>
      <c r="P32" s="31"/>
      <c r="Q32" s="31"/>
      <c r="R32" s="31"/>
      <c r="S32" s="31"/>
      <c r="T32" s="31"/>
    </row>
    <row r="33" customFormat="false" ht="12.75" hidden="false" customHeight="false" outlineLevel="0" collapsed="false">
      <c r="A33" s="31"/>
      <c r="B33" s="31"/>
      <c r="C33" s="31"/>
      <c r="D33" s="31"/>
      <c r="E33" s="31"/>
      <c r="F33" s="31"/>
      <c r="G33" s="31"/>
      <c r="H33" s="31"/>
      <c r="I33" s="31"/>
      <c r="J33" s="31"/>
      <c r="K33" s="31"/>
      <c r="L33" s="31"/>
      <c r="M33" s="31"/>
      <c r="N33" s="31"/>
      <c r="O33" s="31"/>
      <c r="P33" s="31"/>
      <c r="Q33" s="31"/>
      <c r="R33" s="31"/>
      <c r="S33" s="31"/>
      <c r="T33" s="31"/>
    </row>
    <row r="34" customFormat="false" ht="12.75" hidden="false" customHeight="false" outlineLevel="0" collapsed="false">
      <c r="A34" s="31"/>
      <c r="B34" s="31"/>
      <c r="C34" s="31"/>
      <c r="D34" s="31"/>
      <c r="E34" s="31"/>
      <c r="F34" s="31"/>
      <c r="G34" s="31"/>
      <c r="H34" s="31"/>
      <c r="I34" s="31"/>
      <c r="J34" s="31"/>
      <c r="K34" s="31"/>
      <c r="L34" s="31"/>
      <c r="M34" s="31"/>
      <c r="N34" s="31"/>
      <c r="O34" s="31"/>
      <c r="P34" s="31"/>
      <c r="Q34" s="31"/>
      <c r="R34" s="31"/>
      <c r="S34" s="31"/>
      <c r="T34" s="31"/>
    </row>
    <row r="35" customFormat="false" ht="12.75" hidden="false" customHeight="false" outlineLevel="0" collapsed="false">
      <c r="A35" s="31"/>
      <c r="B35" s="31"/>
      <c r="C35" s="31"/>
      <c r="D35" s="31"/>
      <c r="E35" s="31"/>
      <c r="F35" s="31"/>
      <c r="G35" s="31"/>
      <c r="H35" s="31"/>
      <c r="I35" s="31"/>
      <c r="J35" s="31"/>
      <c r="K35" s="31"/>
      <c r="L35" s="31"/>
      <c r="M35" s="31"/>
      <c r="N35" s="31"/>
      <c r="O35" s="31"/>
      <c r="P35" s="31"/>
      <c r="Q35" s="31"/>
      <c r="R35" s="31"/>
      <c r="S35" s="31"/>
      <c r="T35" s="31"/>
    </row>
    <row r="36" customFormat="false" ht="12.75" hidden="false" customHeight="false" outlineLevel="0" collapsed="false">
      <c r="A36" s="31"/>
      <c r="B36" s="31"/>
      <c r="C36" s="31"/>
      <c r="D36" s="31"/>
      <c r="E36" s="31"/>
      <c r="F36" s="31"/>
      <c r="G36" s="31"/>
      <c r="H36" s="31"/>
      <c r="I36" s="31"/>
      <c r="J36" s="31"/>
      <c r="K36" s="31"/>
      <c r="L36" s="31"/>
      <c r="M36" s="31"/>
      <c r="N36" s="31"/>
      <c r="O36" s="31"/>
      <c r="P36" s="31"/>
      <c r="Q36" s="31"/>
      <c r="R36" s="31"/>
      <c r="S36" s="31"/>
      <c r="T36" s="31"/>
    </row>
    <row r="37" customFormat="false" ht="12.75" hidden="false" customHeight="false" outlineLevel="0" collapsed="false">
      <c r="A37" s="31"/>
      <c r="B37" s="31"/>
      <c r="C37" s="31"/>
      <c r="D37" s="31"/>
      <c r="E37" s="31"/>
      <c r="F37" s="31"/>
      <c r="G37" s="31"/>
      <c r="H37" s="31"/>
      <c r="I37" s="31"/>
      <c r="J37" s="31"/>
      <c r="K37" s="31"/>
      <c r="L37" s="31"/>
      <c r="M37" s="31"/>
      <c r="N37" s="31"/>
      <c r="O37" s="31"/>
      <c r="P37" s="31"/>
      <c r="Q37" s="31"/>
      <c r="R37" s="31"/>
      <c r="S37" s="31"/>
      <c r="T37" s="31"/>
    </row>
    <row r="38" customFormat="false" ht="12.75" hidden="false" customHeight="false" outlineLevel="0" collapsed="false">
      <c r="A38" s="31"/>
      <c r="B38" s="31"/>
      <c r="C38" s="31"/>
      <c r="D38" s="31"/>
      <c r="E38" s="31"/>
      <c r="F38" s="31"/>
      <c r="G38" s="31"/>
      <c r="H38" s="31"/>
      <c r="I38" s="31"/>
      <c r="J38" s="31"/>
      <c r="K38" s="31"/>
      <c r="L38" s="31"/>
      <c r="M38" s="31"/>
      <c r="N38" s="31"/>
      <c r="O38" s="31"/>
      <c r="P38" s="31"/>
      <c r="Q38" s="31"/>
      <c r="R38" s="31"/>
      <c r="S38" s="31"/>
      <c r="T38" s="31"/>
    </row>
    <row r="39" customFormat="false" ht="12.75" hidden="false" customHeight="false" outlineLevel="0" collapsed="false">
      <c r="A39" s="31"/>
      <c r="B39" s="31"/>
      <c r="C39" s="31"/>
      <c r="D39" s="31"/>
      <c r="E39" s="31"/>
      <c r="F39" s="31"/>
      <c r="G39" s="31"/>
      <c r="H39" s="31"/>
      <c r="I39" s="31"/>
      <c r="J39" s="31"/>
      <c r="K39" s="31"/>
      <c r="L39" s="31"/>
      <c r="M39" s="31"/>
      <c r="N39" s="31"/>
      <c r="O39" s="31"/>
      <c r="P39" s="31"/>
      <c r="Q39" s="31"/>
      <c r="R39" s="31"/>
      <c r="S39" s="31"/>
      <c r="T39" s="31"/>
    </row>
    <row r="40" customFormat="false" ht="12.75" hidden="false" customHeight="false" outlineLevel="0" collapsed="false">
      <c r="A40" s="31"/>
      <c r="B40" s="31"/>
      <c r="C40" s="31"/>
      <c r="D40" s="31"/>
      <c r="E40" s="31"/>
      <c r="F40" s="31"/>
      <c r="G40" s="31"/>
      <c r="H40" s="31"/>
      <c r="I40" s="31"/>
      <c r="J40" s="31"/>
      <c r="K40" s="31"/>
      <c r="L40" s="31"/>
      <c r="M40" s="31"/>
      <c r="N40" s="31"/>
      <c r="O40" s="31"/>
      <c r="P40" s="31"/>
      <c r="Q40" s="31"/>
      <c r="R40" s="31"/>
      <c r="S40" s="31"/>
      <c r="T40" s="31"/>
    </row>
    <row r="41" customFormat="false" ht="12.75" hidden="false" customHeight="false" outlineLevel="0" collapsed="false">
      <c r="A41" s="31"/>
      <c r="B41" s="31"/>
      <c r="C41" s="31"/>
      <c r="D41" s="31"/>
      <c r="E41" s="31"/>
      <c r="F41" s="31"/>
      <c r="G41" s="31"/>
      <c r="H41" s="31"/>
      <c r="I41" s="31"/>
      <c r="J41" s="31"/>
      <c r="K41" s="31"/>
      <c r="L41" s="31"/>
      <c r="M41" s="31"/>
      <c r="N41" s="31"/>
      <c r="O41" s="31"/>
      <c r="P41" s="31"/>
      <c r="Q41" s="31"/>
      <c r="R41" s="31"/>
      <c r="S41" s="31"/>
      <c r="T41" s="31"/>
    </row>
    <row r="42" customFormat="false" ht="12.75" hidden="false" customHeight="false" outlineLevel="0" collapsed="false">
      <c r="A42" s="31"/>
      <c r="B42" s="31"/>
      <c r="C42" s="31"/>
      <c r="D42" s="31"/>
      <c r="E42" s="31"/>
      <c r="F42" s="31"/>
      <c r="G42" s="31"/>
      <c r="H42" s="31"/>
      <c r="I42" s="31"/>
      <c r="J42" s="31"/>
      <c r="K42" s="31"/>
      <c r="L42" s="31"/>
      <c r="M42" s="31"/>
      <c r="N42" s="31"/>
      <c r="O42" s="31"/>
      <c r="P42" s="31"/>
      <c r="Q42" s="31"/>
      <c r="R42" s="31"/>
      <c r="S42" s="31"/>
      <c r="T42" s="31"/>
    </row>
    <row r="43" customFormat="false" ht="12.75" hidden="false" customHeight="false" outlineLevel="0" collapsed="false">
      <c r="A43" s="31"/>
      <c r="B43" s="31"/>
      <c r="C43" s="31"/>
      <c r="D43" s="31"/>
      <c r="E43" s="31"/>
      <c r="F43" s="31"/>
      <c r="G43" s="31"/>
      <c r="H43" s="31"/>
      <c r="I43" s="31"/>
      <c r="J43" s="31"/>
      <c r="K43" s="31"/>
      <c r="L43" s="31"/>
      <c r="M43" s="31"/>
      <c r="N43" s="31"/>
      <c r="O43" s="31"/>
      <c r="P43" s="31"/>
      <c r="Q43" s="31"/>
      <c r="R43" s="31"/>
      <c r="S43" s="31"/>
      <c r="T43" s="31"/>
    </row>
    <row r="44" customFormat="false" ht="12.75" hidden="false" customHeight="false" outlineLevel="0" collapsed="false">
      <c r="A44" s="31"/>
      <c r="B44" s="31"/>
      <c r="C44" s="31"/>
      <c r="D44" s="31"/>
      <c r="E44" s="31"/>
      <c r="F44" s="31"/>
      <c r="G44" s="31"/>
      <c r="H44" s="31"/>
      <c r="I44" s="31"/>
      <c r="J44" s="31"/>
      <c r="K44" s="31"/>
      <c r="L44" s="31"/>
      <c r="M44" s="31"/>
      <c r="N44" s="31"/>
      <c r="O44" s="31"/>
      <c r="P44" s="31"/>
      <c r="Q44" s="31"/>
      <c r="R44" s="31"/>
      <c r="S44" s="31"/>
      <c r="T44" s="31"/>
    </row>
    <row r="45" customFormat="false" ht="12.75" hidden="false" customHeight="false" outlineLevel="0" collapsed="false">
      <c r="A45" s="31"/>
      <c r="B45" s="31"/>
      <c r="C45" s="31"/>
      <c r="D45" s="31"/>
      <c r="E45" s="31"/>
      <c r="F45" s="31"/>
      <c r="G45" s="31"/>
      <c r="H45" s="31"/>
      <c r="I45" s="31"/>
      <c r="J45" s="31"/>
      <c r="K45" s="31"/>
      <c r="L45" s="31"/>
      <c r="M45" s="31"/>
      <c r="N45" s="31"/>
      <c r="O45" s="31"/>
      <c r="P45" s="31"/>
      <c r="Q45" s="31"/>
      <c r="R45" s="31"/>
      <c r="S45" s="31"/>
      <c r="T45" s="31"/>
    </row>
    <row r="46" customFormat="false" ht="12.75" hidden="false" customHeight="false" outlineLevel="0" collapsed="false">
      <c r="A46" s="31"/>
      <c r="B46" s="31"/>
      <c r="C46" s="31"/>
      <c r="D46" s="31"/>
      <c r="E46" s="31"/>
      <c r="F46" s="31"/>
      <c r="G46" s="31"/>
      <c r="H46" s="31"/>
      <c r="I46" s="31"/>
      <c r="J46" s="31"/>
      <c r="K46" s="31"/>
      <c r="L46" s="31"/>
      <c r="M46" s="31"/>
      <c r="N46" s="31"/>
      <c r="O46" s="31"/>
      <c r="P46" s="31"/>
      <c r="Q46" s="31"/>
      <c r="R46" s="31"/>
      <c r="S46" s="31"/>
      <c r="T46" s="31"/>
    </row>
    <row r="47" customFormat="false" ht="12.75" hidden="false" customHeight="false" outlineLevel="0" collapsed="false">
      <c r="A47" s="31"/>
      <c r="B47" s="31"/>
      <c r="C47" s="31"/>
      <c r="D47" s="31"/>
      <c r="E47" s="31"/>
      <c r="F47" s="31"/>
      <c r="G47" s="31"/>
      <c r="H47" s="31"/>
      <c r="I47" s="31"/>
      <c r="J47" s="31"/>
      <c r="K47" s="31"/>
      <c r="L47" s="31"/>
      <c r="M47" s="31"/>
      <c r="N47" s="31"/>
      <c r="O47" s="31"/>
      <c r="P47" s="31"/>
      <c r="Q47" s="31"/>
      <c r="R47" s="31"/>
      <c r="S47" s="31"/>
      <c r="T47" s="31"/>
    </row>
    <row r="48" customFormat="false" ht="12.75" hidden="false" customHeight="false" outlineLevel="0" collapsed="false">
      <c r="A48" s="31"/>
      <c r="B48" s="31"/>
      <c r="C48" s="31"/>
      <c r="D48" s="31"/>
      <c r="E48" s="31"/>
      <c r="F48" s="31"/>
      <c r="G48" s="31"/>
      <c r="H48" s="31"/>
      <c r="I48" s="31"/>
      <c r="J48" s="31"/>
      <c r="K48" s="31"/>
      <c r="L48" s="31"/>
      <c r="M48" s="31"/>
      <c r="N48" s="31"/>
      <c r="O48" s="31"/>
      <c r="P48" s="31"/>
      <c r="Q48" s="31"/>
      <c r="R48" s="31"/>
      <c r="S48" s="31"/>
      <c r="T48" s="31"/>
    </row>
    <row r="49" customFormat="false" ht="12.75" hidden="false" customHeight="false" outlineLevel="0" collapsed="false">
      <c r="A49" s="31"/>
      <c r="B49" s="31"/>
      <c r="C49" s="31"/>
      <c r="D49" s="31"/>
      <c r="E49" s="31"/>
      <c r="F49" s="31"/>
      <c r="G49" s="31"/>
      <c r="H49" s="31"/>
      <c r="I49" s="31"/>
      <c r="J49" s="31"/>
      <c r="K49" s="31"/>
      <c r="L49" s="31"/>
      <c r="M49" s="31"/>
      <c r="N49" s="31"/>
      <c r="O49" s="31"/>
      <c r="P49" s="31"/>
      <c r="Q49" s="31"/>
      <c r="R49" s="31"/>
      <c r="S49" s="31"/>
      <c r="T49" s="31"/>
    </row>
    <row r="50" customFormat="false" ht="12.75" hidden="false" customHeight="false" outlineLevel="0" collapsed="false">
      <c r="A50" s="31"/>
      <c r="B50" s="31"/>
      <c r="C50" s="31"/>
      <c r="D50" s="31"/>
      <c r="E50" s="31"/>
      <c r="F50" s="31"/>
      <c r="G50" s="31"/>
      <c r="H50" s="31"/>
      <c r="I50" s="31"/>
      <c r="J50" s="31"/>
      <c r="K50" s="31"/>
      <c r="L50" s="31"/>
      <c r="M50" s="31"/>
      <c r="N50" s="31"/>
      <c r="O50" s="31"/>
      <c r="P50" s="31"/>
      <c r="Q50" s="31"/>
      <c r="R50" s="31"/>
      <c r="S50" s="31"/>
      <c r="T50" s="31"/>
    </row>
    <row r="51" customFormat="false" ht="12.75" hidden="false" customHeight="false" outlineLevel="0" collapsed="false">
      <c r="A51" s="31"/>
      <c r="B51" s="31"/>
      <c r="C51" s="31"/>
      <c r="D51" s="31"/>
      <c r="E51" s="31"/>
      <c r="F51" s="31"/>
      <c r="G51" s="31"/>
      <c r="H51" s="31"/>
      <c r="I51" s="31"/>
      <c r="J51" s="31"/>
      <c r="K51" s="31"/>
      <c r="L51" s="31"/>
      <c r="M51" s="31"/>
      <c r="N51" s="31"/>
      <c r="O51" s="31"/>
      <c r="P51" s="31"/>
      <c r="Q51" s="31"/>
      <c r="R51" s="31"/>
      <c r="S51" s="31"/>
      <c r="T51" s="31"/>
    </row>
    <row r="52" customFormat="false" ht="12.75" hidden="false" customHeight="false" outlineLevel="0" collapsed="false">
      <c r="A52" s="31"/>
      <c r="B52" s="31"/>
      <c r="C52" s="31"/>
      <c r="D52" s="31"/>
      <c r="E52" s="31"/>
      <c r="F52" s="31"/>
      <c r="G52" s="31"/>
      <c r="H52" s="31"/>
      <c r="I52" s="31"/>
      <c r="J52" s="31"/>
      <c r="K52" s="31"/>
      <c r="L52" s="31"/>
      <c r="M52" s="31"/>
      <c r="N52" s="31"/>
      <c r="O52" s="31"/>
      <c r="P52" s="31"/>
      <c r="Q52" s="31"/>
      <c r="R52" s="31"/>
      <c r="S52" s="31"/>
      <c r="T52" s="31"/>
    </row>
    <row r="53" customFormat="false" ht="12.75" hidden="false" customHeight="false" outlineLevel="0" collapsed="false">
      <c r="A53" s="31"/>
      <c r="B53" s="31"/>
      <c r="C53" s="31"/>
      <c r="D53" s="31"/>
      <c r="E53" s="31"/>
      <c r="F53" s="31"/>
      <c r="G53" s="31"/>
      <c r="H53" s="31"/>
      <c r="I53" s="31"/>
      <c r="J53" s="31"/>
      <c r="K53" s="31"/>
      <c r="L53" s="31"/>
      <c r="M53" s="31"/>
      <c r="N53" s="31"/>
      <c r="O53" s="31"/>
      <c r="P53" s="31"/>
      <c r="Q53" s="31"/>
      <c r="R53" s="31"/>
      <c r="S53" s="31"/>
      <c r="T53" s="31"/>
    </row>
    <row r="54" customFormat="false" ht="12.75" hidden="false" customHeight="false" outlineLevel="0" collapsed="false">
      <c r="A54" s="31"/>
      <c r="B54" s="31"/>
      <c r="C54" s="31"/>
      <c r="D54" s="31"/>
      <c r="E54" s="31"/>
      <c r="F54" s="31"/>
      <c r="G54" s="31"/>
      <c r="H54" s="31"/>
      <c r="I54" s="31"/>
      <c r="J54" s="31"/>
      <c r="K54" s="31"/>
      <c r="L54" s="31"/>
      <c r="M54" s="31"/>
      <c r="N54" s="31"/>
      <c r="O54" s="31"/>
      <c r="P54" s="31"/>
      <c r="Q54" s="31"/>
      <c r="R54" s="31"/>
      <c r="S54" s="31"/>
      <c r="T54" s="31"/>
    </row>
    <row r="55" customFormat="false" ht="12.75" hidden="false" customHeight="false" outlineLevel="0" collapsed="false">
      <c r="A55" s="31"/>
      <c r="B55" s="31"/>
      <c r="C55" s="31"/>
      <c r="D55" s="31"/>
      <c r="E55" s="31"/>
      <c r="F55" s="31"/>
      <c r="G55" s="31"/>
      <c r="H55" s="31"/>
      <c r="I55" s="31"/>
      <c r="J55" s="31"/>
      <c r="K55" s="31"/>
      <c r="L55" s="31"/>
      <c r="M55" s="31"/>
      <c r="N55" s="31"/>
      <c r="O55" s="31"/>
      <c r="P55" s="31"/>
      <c r="Q55" s="31"/>
      <c r="R55" s="31"/>
      <c r="S55" s="31"/>
      <c r="T55" s="31"/>
    </row>
    <row r="56" customFormat="false" ht="12.75" hidden="false" customHeight="false" outlineLevel="0" collapsed="false">
      <c r="A56" s="31"/>
      <c r="B56" s="31"/>
      <c r="C56" s="31"/>
      <c r="D56" s="31"/>
      <c r="E56" s="31"/>
      <c r="F56" s="31"/>
      <c r="G56" s="31"/>
      <c r="H56" s="31"/>
      <c r="I56" s="31"/>
      <c r="J56" s="31"/>
      <c r="K56" s="31"/>
      <c r="L56" s="31"/>
      <c r="M56" s="31"/>
      <c r="N56" s="31"/>
      <c r="O56" s="31"/>
      <c r="P56" s="31"/>
      <c r="Q56" s="31"/>
      <c r="R56" s="31"/>
      <c r="S56" s="31"/>
      <c r="T56" s="31"/>
    </row>
    <row r="57" customFormat="false" ht="12.75" hidden="false" customHeight="false" outlineLevel="0" collapsed="false">
      <c r="A57" s="31"/>
      <c r="B57" s="31"/>
      <c r="C57" s="31"/>
      <c r="D57" s="31"/>
      <c r="E57" s="31"/>
      <c r="F57" s="31"/>
      <c r="G57" s="31"/>
      <c r="H57" s="31"/>
      <c r="I57" s="31"/>
      <c r="J57" s="31"/>
      <c r="K57" s="31"/>
      <c r="L57" s="31"/>
      <c r="M57" s="31"/>
      <c r="N57" s="31"/>
      <c r="O57" s="31"/>
      <c r="P57" s="31"/>
      <c r="Q57" s="31"/>
      <c r="R57" s="31"/>
      <c r="S57" s="31"/>
      <c r="T57" s="31"/>
    </row>
    <row r="58" customFormat="false" ht="12.75" hidden="false" customHeight="false" outlineLevel="0" collapsed="false">
      <c r="A58" s="31"/>
      <c r="B58" s="31"/>
      <c r="C58" s="31"/>
      <c r="D58" s="31"/>
      <c r="E58" s="31"/>
      <c r="F58" s="31"/>
      <c r="G58" s="31"/>
      <c r="H58" s="31"/>
      <c r="I58" s="31"/>
      <c r="J58" s="31"/>
      <c r="K58" s="31"/>
      <c r="L58" s="31"/>
      <c r="M58" s="31"/>
      <c r="N58" s="31"/>
      <c r="O58" s="31"/>
      <c r="P58" s="31"/>
      <c r="Q58" s="31"/>
      <c r="R58" s="31"/>
      <c r="S58" s="31"/>
      <c r="T58" s="31"/>
    </row>
    <row r="59" customFormat="false" ht="12.75" hidden="false" customHeight="false" outlineLevel="0" collapsed="false">
      <c r="A59" s="31"/>
      <c r="B59" s="31"/>
      <c r="C59" s="31"/>
      <c r="D59" s="31"/>
      <c r="E59" s="31"/>
      <c r="F59" s="31"/>
      <c r="G59" s="31"/>
      <c r="H59" s="31"/>
      <c r="I59" s="31"/>
      <c r="J59" s="31"/>
      <c r="K59" s="31"/>
      <c r="L59" s="31"/>
      <c r="M59" s="31"/>
      <c r="N59" s="31"/>
      <c r="O59" s="31"/>
      <c r="P59" s="31"/>
      <c r="Q59" s="31"/>
      <c r="R59" s="31"/>
      <c r="S59" s="31"/>
      <c r="T59" s="31"/>
    </row>
    <row r="60" customFormat="false" ht="12.75" hidden="false" customHeight="false" outlineLevel="0" collapsed="false">
      <c r="A60" s="31"/>
      <c r="B60" s="31"/>
      <c r="C60" s="31"/>
      <c r="D60" s="31"/>
      <c r="E60" s="31"/>
      <c r="F60" s="31"/>
      <c r="G60" s="31"/>
      <c r="H60" s="31"/>
      <c r="I60" s="31"/>
      <c r="J60" s="31"/>
      <c r="K60" s="31"/>
      <c r="L60" s="31"/>
      <c r="M60" s="31"/>
      <c r="N60" s="31"/>
      <c r="O60" s="31"/>
      <c r="P60" s="31"/>
      <c r="Q60" s="31"/>
      <c r="R60" s="31"/>
      <c r="S60" s="31"/>
      <c r="T60" s="31"/>
    </row>
    <row r="61" customFormat="false" ht="12.75" hidden="false" customHeight="false" outlineLevel="0" collapsed="false">
      <c r="A61" s="31"/>
      <c r="B61" s="31"/>
      <c r="C61" s="31"/>
      <c r="D61" s="31"/>
      <c r="E61" s="31"/>
      <c r="F61" s="31"/>
      <c r="G61" s="31"/>
      <c r="H61" s="31"/>
      <c r="I61" s="31"/>
      <c r="J61" s="31"/>
      <c r="K61" s="31"/>
      <c r="L61" s="31"/>
      <c r="M61" s="31"/>
      <c r="N61" s="31"/>
      <c r="O61" s="31"/>
      <c r="P61" s="31"/>
      <c r="Q61" s="31"/>
      <c r="R61" s="31"/>
      <c r="S61" s="31"/>
      <c r="T61" s="31"/>
    </row>
    <row r="62" customFormat="false" ht="12.75" hidden="false" customHeight="false" outlineLevel="0" collapsed="false">
      <c r="A62" s="31"/>
      <c r="B62" s="31"/>
      <c r="C62" s="31"/>
      <c r="D62" s="31"/>
      <c r="E62" s="31"/>
      <c r="F62" s="31"/>
      <c r="G62" s="31"/>
      <c r="H62" s="31"/>
      <c r="I62" s="31"/>
      <c r="J62" s="31"/>
      <c r="K62" s="31"/>
      <c r="L62" s="31"/>
      <c r="M62" s="31"/>
      <c r="N62" s="31"/>
      <c r="O62" s="31"/>
      <c r="P62" s="31"/>
      <c r="Q62" s="31"/>
      <c r="R62" s="31"/>
      <c r="S62" s="31"/>
      <c r="T62" s="31"/>
    </row>
    <row r="63" customFormat="false" ht="12.75" hidden="false" customHeight="false" outlineLevel="0" collapsed="false">
      <c r="A63" s="31"/>
      <c r="B63" s="31"/>
      <c r="C63" s="31"/>
      <c r="D63" s="31"/>
      <c r="E63" s="31"/>
      <c r="F63" s="31"/>
      <c r="G63" s="31"/>
      <c r="H63" s="31"/>
      <c r="I63" s="31"/>
      <c r="J63" s="31"/>
      <c r="K63" s="31"/>
      <c r="L63" s="31"/>
      <c r="M63" s="31"/>
      <c r="N63" s="31"/>
      <c r="O63" s="31"/>
      <c r="P63" s="31"/>
      <c r="Q63" s="31"/>
      <c r="R63" s="31"/>
      <c r="S63" s="31"/>
      <c r="T63" s="31"/>
    </row>
    <row r="64" customFormat="false" ht="12.75" hidden="false" customHeight="false" outlineLevel="0" collapsed="false">
      <c r="A64" s="31"/>
      <c r="B64" s="31"/>
      <c r="C64" s="31"/>
      <c r="D64" s="31"/>
      <c r="E64" s="31"/>
      <c r="F64" s="31"/>
      <c r="G64" s="31"/>
      <c r="H64" s="31"/>
      <c r="I64" s="31"/>
      <c r="J64" s="31"/>
      <c r="K64" s="31"/>
      <c r="L64" s="31"/>
      <c r="M64" s="31"/>
      <c r="N64" s="31"/>
      <c r="O64" s="31"/>
      <c r="P64" s="31"/>
      <c r="Q64" s="31"/>
      <c r="R64" s="31"/>
      <c r="S64" s="31"/>
      <c r="T64" s="31"/>
    </row>
    <row r="65" customFormat="false" ht="12.75" hidden="false" customHeight="false" outlineLevel="0" collapsed="false">
      <c r="A65" s="31"/>
      <c r="B65" s="31"/>
      <c r="C65" s="31"/>
      <c r="D65" s="31"/>
      <c r="E65" s="31"/>
      <c r="F65" s="31"/>
      <c r="G65" s="31"/>
      <c r="H65" s="31"/>
      <c r="I65" s="31"/>
      <c r="J65" s="31"/>
      <c r="K65" s="31"/>
      <c r="L65" s="31"/>
      <c r="M65" s="31"/>
      <c r="N65" s="31"/>
      <c r="O65" s="31"/>
      <c r="P65" s="31"/>
      <c r="Q65" s="31"/>
      <c r="R65" s="31"/>
      <c r="S65" s="31"/>
      <c r="T65" s="31"/>
    </row>
    <row r="66" customFormat="false" ht="12.75" hidden="false" customHeight="false" outlineLevel="0" collapsed="false">
      <c r="A66" s="31"/>
      <c r="B66" s="31"/>
      <c r="C66" s="31"/>
      <c r="D66" s="31"/>
      <c r="E66" s="31"/>
      <c r="F66" s="31"/>
      <c r="G66" s="31"/>
      <c r="H66" s="31"/>
      <c r="I66" s="31"/>
      <c r="J66" s="31"/>
      <c r="K66" s="31"/>
      <c r="L66" s="31"/>
      <c r="M66" s="31"/>
      <c r="N66" s="31"/>
      <c r="O66" s="31"/>
      <c r="P66" s="31"/>
      <c r="Q66" s="31"/>
      <c r="R66" s="31"/>
      <c r="S66" s="31"/>
      <c r="T66" s="31"/>
    </row>
    <row r="67" customFormat="false" ht="12.75" hidden="false" customHeight="false" outlineLevel="0" collapsed="false">
      <c r="A67" s="31"/>
      <c r="B67" s="31"/>
      <c r="C67" s="31"/>
      <c r="D67" s="31"/>
      <c r="E67" s="31"/>
      <c r="F67" s="31"/>
      <c r="G67" s="31"/>
      <c r="H67" s="31"/>
      <c r="I67" s="31"/>
      <c r="J67" s="31"/>
      <c r="K67" s="31"/>
      <c r="L67" s="31"/>
      <c r="M67" s="31"/>
      <c r="N67" s="31"/>
      <c r="O67" s="31"/>
      <c r="P67" s="31"/>
      <c r="Q67" s="31"/>
      <c r="R67" s="31"/>
      <c r="S67" s="31"/>
      <c r="T67" s="31"/>
    </row>
    <row r="68" customFormat="false" ht="12.75" hidden="false" customHeight="false" outlineLevel="0" collapsed="false">
      <c r="A68" s="31"/>
      <c r="B68" s="31"/>
      <c r="C68" s="31"/>
      <c r="D68" s="31"/>
      <c r="E68" s="31"/>
      <c r="F68" s="31"/>
      <c r="G68" s="31"/>
      <c r="H68" s="31"/>
      <c r="I68" s="31"/>
      <c r="J68" s="31"/>
      <c r="K68" s="31"/>
      <c r="L68" s="31"/>
      <c r="M68" s="31"/>
      <c r="N68" s="31"/>
      <c r="O68" s="31"/>
      <c r="P68" s="31"/>
      <c r="Q68" s="31"/>
      <c r="R68" s="31"/>
      <c r="S68" s="31"/>
      <c r="T68" s="31"/>
    </row>
    <row r="69" customFormat="false" ht="12.75" hidden="false" customHeight="false" outlineLevel="0" collapsed="false">
      <c r="A69" s="31"/>
      <c r="B69" s="31"/>
      <c r="C69" s="31"/>
      <c r="D69" s="31"/>
      <c r="E69" s="31"/>
      <c r="F69" s="31"/>
      <c r="G69" s="31"/>
      <c r="H69" s="31"/>
      <c r="I69" s="31"/>
      <c r="J69" s="31"/>
      <c r="K69" s="31"/>
      <c r="L69" s="31"/>
      <c r="M69" s="31"/>
      <c r="N69" s="31"/>
      <c r="O69" s="31"/>
      <c r="P69" s="31"/>
      <c r="Q69" s="31"/>
      <c r="R69" s="31"/>
      <c r="S69" s="31"/>
      <c r="T69" s="31"/>
    </row>
    <row r="70" customFormat="false" ht="12.75" hidden="false" customHeight="false" outlineLevel="0" collapsed="false">
      <c r="A70" s="31"/>
      <c r="B70" s="31"/>
      <c r="C70" s="31"/>
      <c r="D70" s="31"/>
      <c r="E70" s="31"/>
      <c r="F70" s="31"/>
      <c r="G70" s="31"/>
      <c r="H70" s="31"/>
      <c r="I70" s="31"/>
      <c r="J70" s="31"/>
      <c r="K70" s="31"/>
      <c r="L70" s="31"/>
      <c r="M70" s="31"/>
      <c r="N70" s="31"/>
      <c r="O70" s="31"/>
      <c r="P70" s="31"/>
      <c r="Q70" s="31"/>
      <c r="R70" s="31"/>
      <c r="S70" s="31"/>
      <c r="T70" s="31"/>
    </row>
    <row r="71" customFormat="false" ht="12.75" hidden="false" customHeight="false" outlineLevel="0" collapsed="false">
      <c r="A71" s="31"/>
      <c r="B71" s="31"/>
      <c r="C71" s="31"/>
      <c r="D71" s="31"/>
      <c r="E71" s="31"/>
      <c r="F71" s="31"/>
      <c r="G71" s="31"/>
      <c r="H71" s="31"/>
      <c r="I71" s="31"/>
      <c r="J71" s="31"/>
      <c r="K71" s="31"/>
      <c r="L71" s="31"/>
      <c r="M71" s="31"/>
      <c r="N71" s="31"/>
      <c r="O71" s="31"/>
      <c r="P71" s="31"/>
      <c r="Q71" s="31"/>
      <c r="R71" s="31"/>
      <c r="S71" s="31"/>
      <c r="T71" s="31"/>
    </row>
    <row r="72" customFormat="false" ht="12.75" hidden="false" customHeight="false" outlineLevel="0" collapsed="false">
      <c r="A72" s="31"/>
      <c r="B72" s="31"/>
      <c r="C72" s="31"/>
      <c r="D72" s="31"/>
      <c r="E72" s="31"/>
      <c r="F72" s="31"/>
      <c r="G72" s="31"/>
      <c r="H72" s="31"/>
      <c r="I72" s="31"/>
      <c r="J72" s="31"/>
      <c r="K72" s="31"/>
      <c r="L72" s="31"/>
      <c r="M72" s="31"/>
      <c r="N72" s="31"/>
      <c r="O72" s="31"/>
      <c r="P72" s="31"/>
      <c r="Q72" s="31"/>
      <c r="R72" s="31"/>
      <c r="S72" s="31"/>
      <c r="T72" s="31"/>
    </row>
    <row r="73" customFormat="false" ht="12.75" hidden="false" customHeight="false" outlineLevel="0" collapsed="false">
      <c r="A73" s="31"/>
      <c r="B73" s="31"/>
      <c r="C73" s="31"/>
      <c r="D73" s="31"/>
      <c r="E73" s="31"/>
      <c r="F73" s="31"/>
      <c r="G73" s="31"/>
      <c r="H73" s="31"/>
      <c r="I73" s="31"/>
      <c r="J73" s="31"/>
      <c r="K73" s="31"/>
      <c r="L73" s="31"/>
      <c r="M73" s="31"/>
      <c r="N73" s="31"/>
      <c r="O73" s="31"/>
      <c r="P73" s="31"/>
      <c r="Q73" s="31"/>
      <c r="R73" s="31"/>
      <c r="S73" s="31"/>
      <c r="T73" s="31"/>
    </row>
    <row r="74" customFormat="false" ht="12.75" hidden="false" customHeight="false" outlineLevel="0" collapsed="false">
      <c r="A74" s="31"/>
      <c r="B74" s="31"/>
      <c r="C74" s="31"/>
      <c r="D74" s="31"/>
      <c r="E74" s="31"/>
      <c r="F74" s="31"/>
      <c r="G74" s="31"/>
      <c r="H74" s="31"/>
      <c r="I74" s="31"/>
      <c r="J74" s="31"/>
      <c r="K74" s="31"/>
      <c r="L74" s="31"/>
      <c r="M74" s="31"/>
      <c r="N74" s="31"/>
      <c r="O74" s="31"/>
      <c r="P74" s="31"/>
      <c r="Q74" s="31"/>
      <c r="R74" s="31"/>
      <c r="S74" s="31"/>
      <c r="T74" s="31"/>
    </row>
    <row r="75" customFormat="false" ht="12.75" hidden="false" customHeight="false" outlineLevel="0" collapsed="false">
      <c r="A75" s="31"/>
      <c r="B75" s="31"/>
      <c r="C75" s="31"/>
      <c r="D75" s="31"/>
      <c r="E75" s="31"/>
      <c r="F75" s="31"/>
      <c r="G75" s="31"/>
      <c r="H75" s="31"/>
      <c r="I75" s="31"/>
      <c r="J75" s="31"/>
      <c r="K75" s="31"/>
      <c r="L75" s="31"/>
      <c r="M75" s="31"/>
      <c r="N75" s="31"/>
      <c r="O75" s="31"/>
      <c r="P75" s="31"/>
      <c r="Q75" s="31"/>
      <c r="R75" s="31"/>
      <c r="S75" s="31"/>
      <c r="T75" s="31"/>
    </row>
    <row r="76" customFormat="false" ht="12.75" hidden="false" customHeight="false" outlineLevel="0" collapsed="false">
      <c r="A76" s="31"/>
      <c r="B76" s="31"/>
      <c r="C76" s="31"/>
      <c r="D76" s="31"/>
      <c r="E76" s="31"/>
      <c r="F76" s="31"/>
      <c r="G76" s="31"/>
      <c r="H76" s="31"/>
      <c r="I76" s="31"/>
      <c r="J76" s="31"/>
      <c r="K76" s="31"/>
      <c r="L76" s="31"/>
      <c r="M76" s="31"/>
      <c r="N76" s="31"/>
      <c r="O76" s="31"/>
      <c r="P76" s="31"/>
      <c r="Q76" s="31"/>
      <c r="R76" s="31"/>
      <c r="S76" s="31"/>
      <c r="T76" s="31"/>
    </row>
    <row r="77" customFormat="false" ht="12.75" hidden="false" customHeight="false" outlineLevel="0" collapsed="false">
      <c r="A77" s="31"/>
      <c r="B77" s="31"/>
      <c r="C77" s="31"/>
      <c r="D77" s="31"/>
      <c r="E77" s="31"/>
      <c r="F77" s="31"/>
      <c r="G77" s="31"/>
      <c r="H77" s="31"/>
      <c r="I77" s="31"/>
      <c r="J77" s="31"/>
      <c r="K77" s="31"/>
      <c r="L77" s="31"/>
      <c r="M77" s="31"/>
      <c r="N77" s="31"/>
      <c r="O77" s="31"/>
      <c r="P77" s="31"/>
      <c r="Q77" s="31"/>
      <c r="R77" s="31"/>
      <c r="S77" s="31"/>
      <c r="T77" s="31"/>
    </row>
    <row r="78" customFormat="false" ht="12.75" hidden="false" customHeight="false" outlineLevel="0" collapsed="false">
      <c r="A78" s="31"/>
      <c r="B78" s="31"/>
      <c r="C78" s="31"/>
      <c r="D78" s="31"/>
      <c r="E78" s="31"/>
      <c r="F78" s="31"/>
      <c r="G78" s="31"/>
      <c r="H78" s="31"/>
      <c r="I78" s="31"/>
      <c r="J78" s="31"/>
      <c r="K78" s="31"/>
      <c r="L78" s="31"/>
      <c r="M78" s="31"/>
      <c r="N78" s="31"/>
      <c r="O78" s="31"/>
      <c r="P78" s="31"/>
      <c r="Q78" s="31"/>
      <c r="R78" s="31"/>
      <c r="S78" s="31"/>
      <c r="T78" s="31"/>
    </row>
    <row r="79" customFormat="false" ht="12.75" hidden="false" customHeight="false" outlineLevel="0" collapsed="false">
      <c r="A79" s="31"/>
      <c r="B79" s="31"/>
      <c r="C79" s="31"/>
      <c r="D79" s="31"/>
      <c r="E79" s="31"/>
      <c r="F79" s="31"/>
      <c r="G79" s="31"/>
      <c r="H79" s="31"/>
      <c r="I79" s="31"/>
      <c r="J79" s="31"/>
      <c r="K79" s="31"/>
      <c r="L79" s="31"/>
      <c r="M79" s="31"/>
      <c r="N79" s="31"/>
      <c r="O79" s="31"/>
      <c r="P79" s="31"/>
      <c r="Q79" s="31"/>
      <c r="R79" s="31"/>
      <c r="S79" s="31"/>
      <c r="T79" s="31"/>
    </row>
    <row r="80" customFormat="false" ht="12.75" hidden="false" customHeight="false" outlineLevel="0" collapsed="false">
      <c r="A80" s="31"/>
      <c r="B80" s="31"/>
      <c r="C80" s="31"/>
      <c r="D80" s="31"/>
      <c r="E80" s="31"/>
      <c r="F80" s="31"/>
      <c r="G80" s="31"/>
      <c r="H80" s="31"/>
      <c r="I80" s="31"/>
      <c r="J80" s="31"/>
      <c r="K80" s="31"/>
      <c r="L80" s="31"/>
      <c r="M80" s="31"/>
      <c r="N80" s="31"/>
      <c r="O80" s="31"/>
      <c r="P80" s="31"/>
      <c r="Q80" s="31"/>
      <c r="R80" s="31"/>
      <c r="S80" s="31"/>
      <c r="T80" s="31"/>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2" width="36"/>
    <col collapsed="false" customWidth="true" hidden="false" outlineLevel="0" max="2" min="2" style="2" width="10"/>
    <col collapsed="false" customWidth="true" hidden="false" outlineLevel="0" max="3" min="3" style="2" width="13"/>
    <col collapsed="false" customWidth="true" hidden="false" outlineLevel="0" max="4" min="4" style="2" width="10"/>
    <col collapsed="false" customWidth="true" hidden="false" outlineLevel="0" max="5" min="5" style="2" width="32"/>
    <col collapsed="false" customWidth="true" hidden="false" outlineLevel="0" max="12" min="6" style="2" width="10"/>
    <col collapsed="false" customWidth="true" hidden="false" outlineLevel="0" max="15" min="15" style="1" width="20"/>
    <col collapsed="false" customWidth="true" hidden="false" outlineLevel="0" max="16" min="16" style="1" width="34"/>
    <col collapsed="false" customWidth="true" hidden="false" outlineLevel="0" max="17" min="17" style="1" width="24"/>
    <col collapsed="false" customWidth="true" hidden="false" outlineLevel="0" max="18" min="18" style="1" width="18"/>
    <col collapsed="false" customWidth="true" hidden="false" outlineLevel="0" max="19" min="19" style="1" width="24"/>
    <col collapsed="false" customWidth="true" hidden="false" outlineLevel="0" max="20" min="20" style="1" width="40"/>
    <col collapsed="false" customWidth="true" hidden="false" outlineLevel="0" max="22" min="21" style="1" width="18"/>
    <col collapsed="false" customWidth="true" hidden="false" outlineLevel="0" max="23" min="23" style="1" width="42"/>
  </cols>
  <sheetData>
    <row r="1" customFormat="false" ht="14.25" hidden="false" customHeight="true" outlineLevel="0" collapsed="false">
      <c r="A1" s="39" t="s">
        <v>851</v>
      </c>
      <c r="B1" s="39"/>
      <c r="C1" s="39"/>
      <c r="D1" s="39"/>
      <c r="E1" s="39"/>
      <c r="F1" s="39"/>
      <c r="G1" s="39"/>
      <c r="H1" s="39"/>
      <c r="I1" s="39"/>
      <c r="J1" s="39"/>
      <c r="K1" s="39"/>
      <c r="L1" s="39"/>
      <c r="M1" s="39"/>
      <c r="N1" s="39"/>
      <c r="O1" s="3"/>
      <c r="P1" s="3"/>
      <c r="Q1" s="3"/>
      <c r="R1" s="3"/>
      <c r="S1" s="3"/>
      <c r="T1" s="3"/>
      <c r="U1" s="3"/>
      <c r="V1" s="3"/>
      <c r="W1" s="3"/>
      <c r="X1" s="3"/>
    </row>
    <row r="2" customFormat="false" ht="13.5" hidden="false" customHeight="true" outlineLevel="0" collapsed="false">
      <c r="A2" s="5"/>
      <c r="B2" s="5"/>
      <c r="C2" s="5"/>
      <c r="D2" s="5"/>
      <c r="E2" s="5"/>
      <c r="F2" s="5"/>
      <c r="G2" s="5"/>
      <c r="H2" s="5"/>
      <c r="I2" s="5"/>
      <c r="J2" s="5"/>
      <c r="K2" s="5"/>
      <c r="L2" s="5"/>
      <c r="M2" s="5"/>
      <c r="N2" s="5"/>
      <c r="O2" s="5"/>
      <c r="P2" s="5"/>
      <c r="Q2" s="5"/>
      <c r="R2" s="5"/>
      <c r="S2" s="5"/>
      <c r="T2" s="5"/>
      <c r="U2" s="5"/>
      <c r="V2" s="5"/>
      <c r="W2" s="5"/>
      <c r="X2" s="5"/>
    </row>
    <row r="3" customFormat="false" ht="14.25" hidden="false" customHeight="true" outlineLevel="0" collapsed="false">
      <c r="A3" s="36" t="s">
        <v>852</v>
      </c>
      <c r="B3" s="5"/>
      <c r="C3" s="5"/>
      <c r="D3" s="5"/>
      <c r="E3" s="5"/>
      <c r="F3" s="5"/>
      <c r="G3" s="5"/>
      <c r="H3" s="5"/>
      <c r="I3" s="5"/>
      <c r="J3" s="5"/>
      <c r="K3" s="5"/>
      <c r="L3" s="5"/>
      <c r="M3" s="5"/>
      <c r="N3" s="5"/>
      <c r="O3" s="36" t="s">
        <v>853</v>
      </c>
      <c r="P3" s="5"/>
      <c r="Q3" s="5"/>
      <c r="R3" s="36" t="s">
        <v>854</v>
      </c>
      <c r="S3" s="5"/>
      <c r="T3" s="5"/>
      <c r="U3" s="5"/>
      <c r="V3" s="5"/>
      <c r="W3" s="5"/>
      <c r="X3" s="5"/>
    </row>
    <row r="4" customFormat="false" ht="14.25" hidden="false" customHeight="true" outlineLevel="0" collapsed="false">
      <c r="A4" s="36" t="s">
        <v>855</v>
      </c>
      <c r="B4" s="5"/>
      <c r="C4" s="5"/>
      <c r="D4" s="5"/>
      <c r="E4" s="5"/>
      <c r="F4" s="5"/>
      <c r="G4" s="5"/>
      <c r="H4" s="5"/>
      <c r="I4" s="5"/>
      <c r="J4" s="5"/>
      <c r="K4" s="5"/>
      <c r="L4" s="5"/>
      <c r="M4" s="5"/>
      <c r="N4" s="5"/>
      <c r="O4" s="5"/>
      <c r="P4" s="5"/>
      <c r="Q4" s="5"/>
      <c r="R4" s="5"/>
      <c r="S4" s="5"/>
      <c r="T4" s="5"/>
      <c r="U4" s="5"/>
      <c r="V4" s="5"/>
      <c r="W4" s="5"/>
      <c r="X4" s="5"/>
    </row>
    <row r="5" customFormat="false" ht="13.5" hidden="false" customHeight="true" outlineLevel="0" collapsed="false">
      <c r="A5" s="5"/>
      <c r="B5" s="5"/>
      <c r="C5" s="5"/>
      <c r="D5" s="5"/>
      <c r="E5" s="5"/>
      <c r="F5" s="5"/>
      <c r="G5" s="5"/>
      <c r="H5" s="5"/>
      <c r="I5" s="5"/>
      <c r="J5" s="5"/>
      <c r="K5" s="5"/>
      <c r="L5" s="5"/>
      <c r="M5" s="5"/>
      <c r="N5" s="5"/>
      <c r="O5" s="5"/>
      <c r="P5" s="5"/>
      <c r="Q5" s="5"/>
      <c r="R5" s="5"/>
      <c r="S5" s="5"/>
      <c r="T5" s="5"/>
      <c r="U5" s="5"/>
      <c r="V5" s="5"/>
      <c r="W5" s="5"/>
      <c r="X5" s="5"/>
    </row>
    <row r="6" customFormat="false" ht="14.25" hidden="false" customHeight="true" outlineLevel="0" collapsed="false">
      <c r="A6" s="48" t="s">
        <v>856</v>
      </c>
      <c r="B6" s="48" t="s">
        <v>857</v>
      </c>
      <c r="C6" s="48" t="s">
        <v>696</v>
      </c>
      <c r="D6" s="48" t="s">
        <v>858</v>
      </c>
      <c r="E6" s="48" t="s">
        <v>821</v>
      </c>
      <c r="F6" s="48" t="s">
        <v>859</v>
      </c>
      <c r="G6" s="48" t="s">
        <v>860</v>
      </c>
      <c r="H6" s="48" t="s">
        <v>861</v>
      </c>
      <c r="I6" s="48" t="s">
        <v>862</v>
      </c>
      <c r="J6" s="48" t="s">
        <v>863</v>
      </c>
      <c r="K6" s="48" t="s">
        <v>864</v>
      </c>
      <c r="L6" s="48" t="s">
        <v>865</v>
      </c>
      <c r="M6" s="48" t="s">
        <v>866</v>
      </c>
      <c r="N6" s="48" t="s">
        <v>867</v>
      </c>
      <c r="O6" s="48" t="s">
        <v>868</v>
      </c>
      <c r="P6" s="48" t="s">
        <v>869</v>
      </c>
      <c r="Q6" s="48" t="s">
        <v>870</v>
      </c>
      <c r="R6" s="48" t="s">
        <v>871</v>
      </c>
      <c r="S6" s="48" t="s">
        <v>872</v>
      </c>
      <c r="T6" s="48" t="s">
        <v>873</v>
      </c>
      <c r="U6" s="22" t="s">
        <v>874</v>
      </c>
      <c r="V6" s="22" t="s">
        <v>875</v>
      </c>
      <c r="W6" s="22" t="s">
        <v>876</v>
      </c>
      <c r="X6" s="22" t="s">
        <v>877</v>
      </c>
    </row>
    <row r="7" customFormat="false" ht="14.25" hidden="false" customHeight="true" outlineLevel="0" collapsed="false">
      <c r="A7" s="36" t="s">
        <v>878</v>
      </c>
      <c r="B7" s="36" t="s">
        <v>879</v>
      </c>
      <c r="C7" s="36" t="s">
        <v>763</v>
      </c>
      <c r="D7" s="36" t="s">
        <v>770</v>
      </c>
      <c r="E7" s="36" t="s">
        <v>880</v>
      </c>
      <c r="F7" s="36" t="n">
        <v>-0.3</v>
      </c>
      <c r="G7" s="36" t="n">
        <v>0.8</v>
      </c>
      <c r="H7" s="36" t="n">
        <v>0.7</v>
      </c>
      <c r="I7" s="36" t="n">
        <v>0.5</v>
      </c>
      <c r="J7" s="36" t="n">
        <v>5</v>
      </c>
      <c r="K7" s="36" t="n">
        <v>1</v>
      </c>
      <c r="L7" s="36" t="n">
        <v>1</v>
      </c>
      <c r="M7" s="49" t="n">
        <f aca="false">MIN(1, LN(1+MAX(J7, CANON!$B$27)) / LN(1+CANON!$B$25))</f>
        <v>0.549940570611859</v>
      </c>
      <c r="N7" s="52" t="n">
        <f aca="false">F7*G7*H7*I7*K7*L7*M7</f>
        <v>-0.0461950079313961</v>
      </c>
      <c r="O7" s="52" t="s">
        <v>881</v>
      </c>
      <c r="P7" s="52" t="s">
        <v>882</v>
      </c>
      <c r="Q7" s="52" t="s">
        <v>883</v>
      </c>
      <c r="R7" s="52" t="s">
        <v>884</v>
      </c>
      <c r="S7" s="52" t="n">
        <v>1</v>
      </c>
      <c r="T7" s="52" t="s">
        <v>885</v>
      </c>
      <c r="U7" s="22" t="n">
        <f aca="false">F7*G7*H7*I7*K7*1*M7</f>
        <v>-0.0461950079313961</v>
      </c>
      <c r="V7" s="22" t="n">
        <f aca="false">F7*G7*H7*I7*K7*L7*M7</f>
        <v>-0.0461950079313961</v>
      </c>
      <c r="W7" s="22" t="s">
        <v>886</v>
      </c>
      <c r="X7" s="22" t="s">
        <v>887</v>
      </c>
    </row>
    <row r="8" customFormat="false" ht="14.25" hidden="false" customHeight="true" outlineLevel="0" collapsed="false">
      <c r="A8" s="36" t="s">
        <v>888</v>
      </c>
      <c r="B8" s="36" t="s">
        <v>879</v>
      </c>
      <c r="C8" s="36" t="s">
        <v>763</v>
      </c>
      <c r="D8" s="36" t="s">
        <v>770</v>
      </c>
      <c r="E8" s="36" t="s">
        <v>889</v>
      </c>
      <c r="F8" s="36" t="n">
        <v>0.15</v>
      </c>
      <c r="G8" s="36" t="n">
        <v>0.6</v>
      </c>
      <c r="H8" s="36" t="n">
        <v>0.5</v>
      </c>
      <c r="I8" s="36" t="n">
        <v>0.3</v>
      </c>
      <c r="J8" s="36" t="n">
        <v>3</v>
      </c>
      <c r="K8" s="36" t="n">
        <v>1</v>
      </c>
      <c r="L8" s="36" t="n">
        <v>1</v>
      </c>
      <c r="M8" s="49" t="n">
        <f aca="false">MIN(1, LN(1+MAX(J8, CANON!$B$27)) / LN(1+CANON!$B$25))</f>
        <v>0.425492107106726</v>
      </c>
      <c r="N8" s="52" t="n">
        <f aca="false">F8*G8*H8*I8*K8*L8*M8</f>
        <v>0.00574414344594081</v>
      </c>
      <c r="O8" s="52" t="s">
        <v>881</v>
      </c>
      <c r="P8" s="52" t="s">
        <v>882</v>
      </c>
      <c r="Q8" s="52" t="s">
        <v>883</v>
      </c>
      <c r="R8" s="52" t="s">
        <v>884</v>
      </c>
      <c r="S8" s="52" t="n">
        <v>1</v>
      </c>
      <c r="T8" s="52" t="s">
        <v>885</v>
      </c>
      <c r="U8" s="22" t="n">
        <f aca="false">F8*G8*H8*I8*K8*1*M8</f>
        <v>0.00574414344594081</v>
      </c>
      <c r="V8" s="22" t="n">
        <f aca="false">F8*G8*H8*I8*K8*L8*M8</f>
        <v>0.00574414344594081</v>
      </c>
      <c r="W8" s="22" t="s">
        <v>886</v>
      </c>
      <c r="X8" s="22" t="s">
        <v>887</v>
      </c>
    </row>
    <row r="9" customFormat="false" ht="14.25" hidden="false" customHeight="true" outlineLevel="0" collapsed="false">
      <c r="A9" s="36" t="s">
        <v>890</v>
      </c>
      <c r="B9" s="36" t="s">
        <v>879</v>
      </c>
      <c r="C9" s="36" t="s">
        <v>760</v>
      </c>
      <c r="D9" s="36" t="s">
        <v>769</v>
      </c>
      <c r="E9" s="36" t="s">
        <v>891</v>
      </c>
      <c r="F9" s="36" t="n">
        <v>0.4</v>
      </c>
      <c r="G9" s="36" t="n">
        <v>0.9</v>
      </c>
      <c r="H9" s="36" t="n">
        <v>0.8</v>
      </c>
      <c r="I9" s="36" t="n">
        <v>0.6</v>
      </c>
      <c r="J9" s="36" t="n">
        <v>10</v>
      </c>
      <c r="K9" s="36" t="n">
        <v>1</v>
      </c>
      <c r="L9" s="36" t="n">
        <v>1</v>
      </c>
      <c r="M9" s="49" t="n">
        <f aca="false">MIN(1, LN(1+MAX(J9, CANON!$B$27)) / LN(1+CANON!$B$25))</f>
        <v>0.735980424402808</v>
      </c>
      <c r="N9" s="52" t="n">
        <f aca="false">F9*G9*H9*I9*K9*L9*M9</f>
        <v>0.127177417336805</v>
      </c>
      <c r="O9" s="52" t="s">
        <v>881</v>
      </c>
      <c r="P9" s="52" t="s">
        <v>882</v>
      </c>
      <c r="Q9" s="52" t="s">
        <v>883</v>
      </c>
      <c r="R9" s="52" t="s">
        <v>884</v>
      </c>
      <c r="S9" s="52" t="n">
        <v>1</v>
      </c>
      <c r="T9" s="52" t="s">
        <v>885</v>
      </c>
      <c r="U9" s="22" t="n">
        <f aca="false">F9*G9*H9*I9*K9*1*M9</f>
        <v>0.127177417336805</v>
      </c>
      <c r="V9" s="22" t="n">
        <f aca="false">F9*G9*H9*I9*K9*L9*M9</f>
        <v>0.127177417336805</v>
      </c>
      <c r="W9" s="22" t="s">
        <v>886</v>
      </c>
      <c r="X9" s="22" t="s">
        <v>887</v>
      </c>
    </row>
    <row r="10" customFormat="false" ht="14.25" hidden="false" customHeight="true" outlineLevel="0" collapsed="false">
      <c r="A10" s="36" t="s">
        <v>892</v>
      </c>
      <c r="B10" s="36" t="s">
        <v>879</v>
      </c>
      <c r="C10" s="36" t="s">
        <v>762</v>
      </c>
      <c r="D10" s="36" t="s">
        <v>771</v>
      </c>
      <c r="E10" s="36" t="s">
        <v>893</v>
      </c>
      <c r="F10" s="36" t="n">
        <v>0.25</v>
      </c>
      <c r="G10" s="36" t="n">
        <v>0.7</v>
      </c>
      <c r="H10" s="36" t="n">
        <v>0.6</v>
      </c>
      <c r="I10" s="36" t="n">
        <v>0.4</v>
      </c>
      <c r="J10" s="36" t="n">
        <v>5</v>
      </c>
      <c r="K10" s="36" t="n">
        <v>1</v>
      </c>
      <c r="L10" s="36" t="n">
        <v>1</v>
      </c>
      <c r="M10" s="49" t="n">
        <f aca="false">MIN(1, LN(1+MAX(J10, CANON!$B$27)) / LN(1+CANON!$B$25))</f>
        <v>0.549940570611859</v>
      </c>
      <c r="N10" s="52" t="n">
        <f aca="false">F10*G10*H10*I10*K10*L10*M10</f>
        <v>0.0230975039656981</v>
      </c>
      <c r="O10" s="52" t="s">
        <v>881</v>
      </c>
      <c r="P10" s="52" t="s">
        <v>882</v>
      </c>
      <c r="Q10" s="52" t="s">
        <v>883</v>
      </c>
      <c r="R10" s="52" t="s">
        <v>884</v>
      </c>
      <c r="S10" s="52" t="n">
        <v>1</v>
      </c>
      <c r="T10" s="52" t="s">
        <v>885</v>
      </c>
      <c r="U10" s="22" t="n">
        <f aca="false">F10*G10*H10*I10*K10*1*M10</f>
        <v>0.0230975039656981</v>
      </c>
      <c r="V10" s="22" t="n">
        <f aca="false">F10*G10*H10*I10*K10*L10*M10</f>
        <v>0.0230975039656981</v>
      </c>
      <c r="W10" s="22" t="s">
        <v>886</v>
      </c>
      <c r="X10" s="22" t="s">
        <v>887</v>
      </c>
    </row>
    <row r="11" customFormat="false" ht="14.25" hidden="false" customHeight="true" outlineLevel="0" collapsed="false">
      <c r="A11" s="36" t="s">
        <v>894</v>
      </c>
      <c r="B11" s="36" t="s">
        <v>879</v>
      </c>
      <c r="C11" s="36" t="s">
        <v>760</v>
      </c>
      <c r="D11" s="36" t="s">
        <v>895</v>
      </c>
      <c r="E11" s="36" t="s">
        <v>896</v>
      </c>
      <c r="F11" s="36" t="n">
        <v>0.35</v>
      </c>
      <c r="G11" s="36" t="n">
        <v>0.8</v>
      </c>
      <c r="H11" s="36" t="n">
        <v>0.7</v>
      </c>
      <c r="I11" s="36" t="n">
        <v>0.5</v>
      </c>
      <c r="J11" s="36" t="n">
        <v>10</v>
      </c>
      <c r="K11" s="36" t="n">
        <v>1</v>
      </c>
      <c r="L11" s="36" t="n">
        <v>1</v>
      </c>
      <c r="M11" s="49" t="n">
        <f aca="false">MIN(1, LN(1+MAX(J11, CANON!$B$27)) / LN(1+CANON!$B$25))</f>
        <v>0.735980424402808</v>
      </c>
      <c r="N11" s="52" t="n">
        <f aca="false">F11*G11*H11*I11*K11*L11*M11</f>
        <v>0.0721260815914752</v>
      </c>
      <c r="O11" s="52" t="s">
        <v>881</v>
      </c>
      <c r="P11" s="52" t="s">
        <v>882</v>
      </c>
      <c r="Q11" s="52" t="s">
        <v>883</v>
      </c>
      <c r="R11" s="52" t="s">
        <v>884</v>
      </c>
      <c r="S11" s="52" t="n">
        <v>1</v>
      </c>
      <c r="T11" s="52" t="s">
        <v>885</v>
      </c>
      <c r="U11" s="22" t="n">
        <f aca="false">F11*G11*H11*I11*K11*1*M11</f>
        <v>0.0721260815914752</v>
      </c>
      <c r="V11" s="22" t="n">
        <f aca="false">F11*G11*H11*I11*K11*L11*M11</f>
        <v>0.0721260815914752</v>
      </c>
      <c r="W11" s="22" t="s">
        <v>886</v>
      </c>
      <c r="X11" s="22" t="s">
        <v>887</v>
      </c>
    </row>
    <row r="12" customFormat="false" ht="14.25" hidden="false" customHeight="true" outlineLevel="0" collapsed="false">
      <c r="A12" s="36" t="s">
        <v>897</v>
      </c>
      <c r="B12" s="36" t="s">
        <v>879</v>
      </c>
      <c r="C12" s="36" t="s">
        <v>768</v>
      </c>
      <c r="D12" s="36" t="s">
        <v>767</v>
      </c>
      <c r="E12" s="36" t="s">
        <v>898</v>
      </c>
      <c r="F12" s="36" t="n">
        <v>0.15</v>
      </c>
      <c r="G12" s="36" t="n">
        <v>0.5</v>
      </c>
      <c r="H12" s="36" t="n">
        <v>0.4</v>
      </c>
      <c r="I12" s="36" t="n">
        <v>0.3</v>
      </c>
      <c r="J12" s="36" t="n">
        <v>15</v>
      </c>
      <c r="K12" s="36" t="n">
        <v>1</v>
      </c>
      <c r="L12" s="36" t="n">
        <v>1</v>
      </c>
      <c r="M12" s="49" t="n">
        <f aca="false">MIN(1, LN(1+MAX(J12, CANON!$B$27)) / LN(1+CANON!$B$25))</f>
        <v>0.850984214213453</v>
      </c>
      <c r="N12" s="52" t="n">
        <f aca="false">F12*G12*H12*I12*K12*L12*M12</f>
        <v>0.00765885792792107</v>
      </c>
      <c r="O12" s="52" t="s">
        <v>881</v>
      </c>
      <c r="P12" s="52" t="s">
        <v>882</v>
      </c>
      <c r="Q12" s="52" t="s">
        <v>883</v>
      </c>
      <c r="R12" s="52" t="s">
        <v>884</v>
      </c>
      <c r="S12" s="52" t="n">
        <v>1</v>
      </c>
      <c r="T12" s="52" t="s">
        <v>885</v>
      </c>
      <c r="U12" s="22" t="n">
        <f aca="false">F12*G12*H12*I12*K12*1*M12</f>
        <v>0.00765885792792107</v>
      </c>
      <c r="V12" s="22" t="n">
        <f aca="false">F12*G12*H12*I12*K12*L12*M12</f>
        <v>0.00765885792792107</v>
      </c>
      <c r="W12" s="22" t="s">
        <v>886</v>
      </c>
      <c r="X12" s="22" t="s">
        <v>887</v>
      </c>
    </row>
    <row r="13" customFormat="false" ht="14.25" hidden="false" customHeight="true" outlineLevel="0" collapsed="false">
      <c r="A13" s="36" t="s">
        <v>899</v>
      </c>
      <c r="B13" s="36" t="s">
        <v>879</v>
      </c>
      <c r="C13" s="36" t="s">
        <v>764</v>
      </c>
      <c r="D13" s="36" t="s">
        <v>771</v>
      </c>
      <c r="E13" s="36" t="s">
        <v>900</v>
      </c>
      <c r="F13" s="36" t="n">
        <v>-0.2</v>
      </c>
      <c r="G13" s="36" t="n">
        <v>0.9</v>
      </c>
      <c r="H13" s="36" t="n">
        <v>0.8</v>
      </c>
      <c r="I13" s="36" t="n">
        <v>0.7</v>
      </c>
      <c r="J13" s="36" t="n">
        <v>3</v>
      </c>
      <c r="K13" s="36" t="n">
        <v>1</v>
      </c>
      <c r="L13" s="36" t="n">
        <v>1</v>
      </c>
      <c r="M13" s="49" t="n">
        <f aca="false">MIN(1, LN(1+MAX(J13, CANON!$B$27)) / LN(1+CANON!$B$25))</f>
        <v>0.425492107106726</v>
      </c>
      <c r="N13" s="52" t="n">
        <f aca="false">F13*G13*H13*I13*K13*L13*M13</f>
        <v>-0.042889604396358</v>
      </c>
      <c r="O13" s="52" t="s">
        <v>881</v>
      </c>
      <c r="P13" s="52" t="s">
        <v>882</v>
      </c>
      <c r="Q13" s="52" t="s">
        <v>883</v>
      </c>
      <c r="R13" s="52" t="s">
        <v>884</v>
      </c>
      <c r="S13" s="52" t="n">
        <v>1</v>
      </c>
      <c r="T13" s="52" t="s">
        <v>885</v>
      </c>
      <c r="U13" s="22" t="n">
        <f aca="false">F13*G13*H13*I13*K13*1*M13</f>
        <v>-0.042889604396358</v>
      </c>
      <c r="V13" s="22" t="n">
        <f aca="false">F13*G13*H13*I13*K13*L13*M13</f>
        <v>-0.042889604396358</v>
      </c>
      <c r="W13" s="22" t="s">
        <v>886</v>
      </c>
      <c r="X13" s="22" t="s">
        <v>887</v>
      </c>
    </row>
    <row r="14" customFormat="false" ht="14.25" hidden="false" customHeight="true" outlineLevel="0" collapsed="false">
      <c r="A14" s="36" t="s">
        <v>901</v>
      </c>
      <c r="B14" s="36" t="s">
        <v>879</v>
      </c>
      <c r="C14" s="36" t="s">
        <v>763</v>
      </c>
      <c r="D14" s="36" t="s">
        <v>771</v>
      </c>
      <c r="E14" s="36" t="s">
        <v>902</v>
      </c>
      <c r="F14" s="36" t="n">
        <v>-0.15</v>
      </c>
      <c r="G14" s="36" t="n">
        <v>0.6</v>
      </c>
      <c r="H14" s="36" t="n">
        <v>0.5</v>
      </c>
      <c r="I14" s="36" t="n">
        <v>0.4</v>
      </c>
      <c r="J14" s="36" t="n">
        <v>5</v>
      </c>
      <c r="K14" s="36" t="n">
        <v>1</v>
      </c>
      <c r="L14" s="36" t="n">
        <v>1</v>
      </c>
      <c r="M14" s="49" t="n">
        <f aca="false">MIN(1, LN(1+MAX(J14, CANON!$B$27)) / LN(1+CANON!$B$25))</f>
        <v>0.549940570611859</v>
      </c>
      <c r="N14" s="52" t="n">
        <f aca="false">F14*G14*H14*I14*K14*L14*M14</f>
        <v>-0.00989893027101346</v>
      </c>
      <c r="O14" s="52" t="s">
        <v>881</v>
      </c>
      <c r="P14" s="52" t="s">
        <v>882</v>
      </c>
      <c r="Q14" s="52" t="s">
        <v>883</v>
      </c>
      <c r="R14" s="52" t="s">
        <v>884</v>
      </c>
      <c r="S14" s="52" t="n">
        <v>1</v>
      </c>
      <c r="T14" s="52" t="s">
        <v>885</v>
      </c>
      <c r="U14" s="22" t="n">
        <f aca="false">F14*G14*H14*I14*K14*1*M14</f>
        <v>-0.00989893027101346</v>
      </c>
      <c r="V14" s="22" t="n">
        <f aca="false">F14*G14*H14*I14*K14*L14*M14</f>
        <v>-0.00989893027101346</v>
      </c>
      <c r="W14" s="22" t="s">
        <v>886</v>
      </c>
      <c r="X14" s="22" t="s">
        <v>887</v>
      </c>
    </row>
    <row r="15" customFormat="false" ht="14.25" hidden="false" customHeight="true" outlineLevel="0" collapsed="false">
      <c r="A15" s="36" t="s">
        <v>903</v>
      </c>
      <c r="B15" s="36" t="s">
        <v>904</v>
      </c>
      <c r="C15" s="36" t="s">
        <v>763</v>
      </c>
      <c r="D15" s="36" t="s">
        <v>770</v>
      </c>
      <c r="E15" s="36" t="s">
        <v>905</v>
      </c>
      <c r="F15" s="36" t="n">
        <v>0.2</v>
      </c>
      <c r="G15" s="36" t="n">
        <v>0.8</v>
      </c>
      <c r="H15" s="36" t="n">
        <v>0.7</v>
      </c>
      <c r="I15" s="36" t="n">
        <v>0.5</v>
      </c>
      <c r="J15" s="36" t="n">
        <v>5</v>
      </c>
      <c r="K15" s="36" t="n">
        <v>1</v>
      </c>
      <c r="L15" s="36" t="n">
        <v>1</v>
      </c>
      <c r="M15" s="49" t="n">
        <f aca="false">MIN(1, LN(1+MAX(J15, CANON!$B$27)) / LN(1+CANON!$B$25))</f>
        <v>0.549940570611859</v>
      </c>
      <c r="N15" s="52" t="n">
        <f aca="false">F15*G15*H15*I15*K15*L15*M15</f>
        <v>0.0307966719542641</v>
      </c>
      <c r="O15" s="52" t="s">
        <v>881</v>
      </c>
      <c r="P15" s="52" t="s">
        <v>882</v>
      </c>
      <c r="Q15" s="52" t="s">
        <v>883</v>
      </c>
      <c r="R15" s="52" t="s">
        <v>884</v>
      </c>
      <c r="S15" s="52" t="n">
        <v>1</v>
      </c>
      <c r="T15" s="52" t="s">
        <v>885</v>
      </c>
      <c r="U15" s="22" t="n">
        <f aca="false">F15*G15*H15*I15*K15*1*M15</f>
        <v>0.0307966719542641</v>
      </c>
      <c r="V15" s="22" t="n">
        <f aca="false">F15*G15*H15*I15*K15*L15*M15</f>
        <v>0.0307966719542641</v>
      </c>
      <c r="W15" s="22" t="s">
        <v>886</v>
      </c>
      <c r="X15" s="22" t="s">
        <v>887</v>
      </c>
    </row>
    <row r="16" customFormat="false" ht="14.25" hidden="false" customHeight="true" outlineLevel="0" collapsed="false">
      <c r="A16" s="36" t="s">
        <v>906</v>
      </c>
      <c r="B16" s="36" t="s">
        <v>904</v>
      </c>
      <c r="C16" s="36" t="s">
        <v>760</v>
      </c>
      <c r="D16" s="36" t="s">
        <v>769</v>
      </c>
      <c r="E16" s="36" t="s">
        <v>907</v>
      </c>
      <c r="F16" s="36" t="n">
        <v>-0.15</v>
      </c>
      <c r="G16" s="36" t="n">
        <v>0.7</v>
      </c>
      <c r="H16" s="36" t="n">
        <v>0.6</v>
      </c>
      <c r="I16" s="36" t="n">
        <v>0.5</v>
      </c>
      <c r="J16" s="36" t="n">
        <v>10</v>
      </c>
      <c r="K16" s="36" t="n">
        <v>1</v>
      </c>
      <c r="L16" s="36" t="n">
        <v>1</v>
      </c>
      <c r="M16" s="49" t="n">
        <f aca="false">MIN(1, LN(1+MAX(J16, CANON!$B$27)) / LN(1+CANON!$B$25))</f>
        <v>0.735980424402808</v>
      </c>
      <c r="N16" s="52" t="n">
        <f aca="false">F16*G16*H16*I16*K16*L16*M16</f>
        <v>-0.0231833833686885</v>
      </c>
      <c r="O16" s="52" t="s">
        <v>881</v>
      </c>
      <c r="P16" s="52" t="s">
        <v>882</v>
      </c>
      <c r="Q16" s="52" t="s">
        <v>883</v>
      </c>
      <c r="R16" s="52" t="s">
        <v>884</v>
      </c>
      <c r="S16" s="52" t="n">
        <v>1</v>
      </c>
      <c r="T16" s="52" t="s">
        <v>885</v>
      </c>
      <c r="U16" s="22" t="n">
        <f aca="false">F16*G16*H16*I16*K16*1*M16</f>
        <v>-0.0231833833686885</v>
      </c>
      <c r="V16" s="22" t="n">
        <f aca="false">F16*G16*H16*I16*K16*L16*M16</f>
        <v>-0.0231833833686885</v>
      </c>
      <c r="W16" s="22" t="s">
        <v>886</v>
      </c>
      <c r="X16" s="22" t="s">
        <v>887</v>
      </c>
    </row>
    <row r="17" customFormat="false" ht="14.25" hidden="false" customHeight="true" outlineLevel="0" collapsed="false">
      <c r="A17" s="36" t="s">
        <v>908</v>
      </c>
      <c r="B17" s="36" t="s">
        <v>904</v>
      </c>
      <c r="C17" s="36" t="s">
        <v>762</v>
      </c>
      <c r="D17" s="36" t="s">
        <v>771</v>
      </c>
      <c r="E17" s="36" t="s">
        <v>909</v>
      </c>
      <c r="F17" s="36" t="n">
        <v>-0.1</v>
      </c>
      <c r="G17" s="36" t="n">
        <v>0.7</v>
      </c>
      <c r="H17" s="36" t="n">
        <v>0.6</v>
      </c>
      <c r="I17" s="36" t="n">
        <v>0.4</v>
      </c>
      <c r="J17" s="36" t="n">
        <v>5</v>
      </c>
      <c r="K17" s="36" t="n">
        <v>1</v>
      </c>
      <c r="L17" s="36" t="n">
        <v>1</v>
      </c>
      <c r="M17" s="49" t="n">
        <f aca="false">MIN(1, LN(1+MAX(J17, CANON!$B$27)) / LN(1+CANON!$B$25))</f>
        <v>0.549940570611859</v>
      </c>
      <c r="N17" s="52" t="n">
        <f aca="false">F17*G17*H17*I17*K17*L17*M17</f>
        <v>-0.00923900158627923</v>
      </c>
      <c r="O17" s="52" t="s">
        <v>881</v>
      </c>
      <c r="P17" s="52" t="s">
        <v>882</v>
      </c>
      <c r="Q17" s="52" t="s">
        <v>883</v>
      </c>
      <c r="R17" s="52" t="s">
        <v>884</v>
      </c>
      <c r="S17" s="52" t="n">
        <v>1</v>
      </c>
      <c r="T17" s="52" t="s">
        <v>885</v>
      </c>
      <c r="U17" s="22" t="n">
        <f aca="false">F17*G17*H17*I17*K17*1*M17</f>
        <v>-0.00923900158627923</v>
      </c>
      <c r="V17" s="22" t="n">
        <f aca="false">F17*G17*H17*I17*K17*L17*M17</f>
        <v>-0.00923900158627923</v>
      </c>
      <c r="W17" s="22" t="s">
        <v>886</v>
      </c>
      <c r="X17" s="22" t="s">
        <v>887</v>
      </c>
    </row>
    <row r="18" customFormat="false" ht="14.25" hidden="false" customHeight="true" outlineLevel="0" collapsed="false">
      <c r="A18" s="36" t="s">
        <v>910</v>
      </c>
      <c r="B18" s="36" t="s">
        <v>904</v>
      </c>
      <c r="C18" s="36" t="s">
        <v>768</v>
      </c>
      <c r="D18" s="36" t="s">
        <v>767</v>
      </c>
      <c r="E18" s="36" t="s">
        <v>911</v>
      </c>
      <c r="F18" s="36" t="n">
        <v>-0.1</v>
      </c>
      <c r="G18" s="36" t="n">
        <v>0.5</v>
      </c>
      <c r="H18" s="36" t="n">
        <v>0.4</v>
      </c>
      <c r="I18" s="36" t="n">
        <v>0.3</v>
      </c>
      <c r="J18" s="36" t="n">
        <v>15</v>
      </c>
      <c r="K18" s="36" t="n">
        <v>1</v>
      </c>
      <c r="L18" s="36" t="n">
        <v>1</v>
      </c>
      <c r="M18" s="49" t="n">
        <f aca="false">MIN(1, LN(1+MAX(J18, CANON!$B$27)) / LN(1+CANON!$B$25))</f>
        <v>0.850984214213453</v>
      </c>
      <c r="N18" s="52" t="n">
        <f aca="false">F18*G18*H18*I18*K18*L18*M18</f>
        <v>-0.00510590528528072</v>
      </c>
      <c r="O18" s="52" t="s">
        <v>881</v>
      </c>
      <c r="P18" s="52" t="s">
        <v>882</v>
      </c>
      <c r="Q18" s="52" t="s">
        <v>883</v>
      </c>
      <c r="R18" s="52" t="s">
        <v>884</v>
      </c>
      <c r="S18" s="52" t="n">
        <v>1</v>
      </c>
      <c r="T18" s="52" t="s">
        <v>885</v>
      </c>
      <c r="U18" s="22" t="n">
        <f aca="false">F18*G18*H18*I18*K18*1*M18</f>
        <v>-0.00510590528528072</v>
      </c>
      <c r="V18" s="22" t="n">
        <f aca="false">F18*G18*H18*I18*K18*L18*M18</f>
        <v>-0.00510590528528072</v>
      </c>
      <c r="W18" s="22" t="s">
        <v>886</v>
      </c>
      <c r="X18" s="22" t="s">
        <v>887</v>
      </c>
    </row>
    <row r="19" customFormat="false" ht="14.25" hidden="false" customHeight="true" outlineLevel="0" collapsed="false">
      <c r="A19" s="36" t="s">
        <v>912</v>
      </c>
      <c r="B19" s="36" t="s">
        <v>904</v>
      </c>
      <c r="C19" s="36" t="s">
        <v>764</v>
      </c>
      <c r="D19" s="36" t="s">
        <v>771</v>
      </c>
      <c r="E19" s="36" t="s">
        <v>913</v>
      </c>
      <c r="F19" s="36" t="n">
        <v>0.1</v>
      </c>
      <c r="G19" s="36" t="n">
        <v>0.6</v>
      </c>
      <c r="H19" s="36" t="n">
        <v>0.5</v>
      </c>
      <c r="I19" s="36" t="n">
        <v>0.4</v>
      </c>
      <c r="J19" s="36" t="n">
        <v>3</v>
      </c>
      <c r="K19" s="36" t="n">
        <v>1</v>
      </c>
      <c r="L19" s="36" t="n">
        <v>1</v>
      </c>
      <c r="M19" s="49" t="n">
        <f aca="false">MIN(1, LN(1+MAX(J19, CANON!$B$27)) / LN(1+CANON!$B$25))</f>
        <v>0.425492107106726</v>
      </c>
      <c r="N19" s="52" t="n">
        <f aca="false">F19*G19*H19*I19*K19*L19*M19</f>
        <v>0.00510590528528072</v>
      </c>
      <c r="O19" s="52" t="s">
        <v>881</v>
      </c>
      <c r="P19" s="52" t="s">
        <v>882</v>
      </c>
      <c r="Q19" s="52" t="s">
        <v>883</v>
      </c>
      <c r="R19" s="52" t="s">
        <v>884</v>
      </c>
      <c r="S19" s="52" t="n">
        <v>1</v>
      </c>
      <c r="T19" s="52" t="s">
        <v>885</v>
      </c>
      <c r="U19" s="22" t="n">
        <f aca="false">F19*G19*H19*I19*K19*1*M19</f>
        <v>0.00510590528528072</v>
      </c>
      <c r="V19" s="22" t="n">
        <f aca="false">F19*G19*H19*I19*K19*L19*M19</f>
        <v>0.00510590528528072</v>
      </c>
      <c r="W19" s="22" t="s">
        <v>886</v>
      </c>
      <c r="X19" s="22" t="s">
        <v>887</v>
      </c>
    </row>
    <row r="20" customFormat="false" ht="14.25" hidden="false" customHeight="true" outlineLevel="0" collapsed="false">
      <c r="A20" s="36" t="s">
        <v>914</v>
      </c>
      <c r="B20" s="36" t="s">
        <v>904</v>
      </c>
      <c r="C20" s="36" t="s">
        <v>763</v>
      </c>
      <c r="D20" s="36" t="s">
        <v>771</v>
      </c>
      <c r="E20" s="36" t="s">
        <v>915</v>
      </c>
      <c r="F20" s="36" t="n">
        <v>0.1</v>
      </c>
      <c r="G20" s="36" t="n">
        <v>0.6</v>
      </c>
      <c r="H20" s="36" t="n">
        <v>0.5</v>
      </c>
      <c r="I20" s="36" t="n">
        <v>0.4</v>
      </c>
      <c r="J20" s="36" t="n">
        <v>5</v>
      </c>
      <c r="K20" s="36" t="n">
        <v>1</v>
      </c>
      <c r="L20" s="36" t="n">
        <v>1</v>
      </c>
      <c r="M20" s="49" t="n">
        <f aca="false">MIN(1, LN(1+MAX(J20, CANON!$B$27)) / LN(1+CANON!$B$25))</f>
        <v>0.549940570611859</v>
      </c>
      <c r="N20" s="52" t="n">
        <f aca="false">F20*G20*H20*I20*K20*L20*M20</f>
        <v>0.0065992868473423</v>
      </c>
      <c r="O20" s="52" t="s">
        <v>881</v>
      </c>
      <c r="P20" s="52" t="s">
        <v>882</v>
      </c>
      <c r="Q20" s="52" t="s">
        <v>883</v>
      </c>
      <c r="R20" s="52" t="s">
        <v>884</v>
      </c>
      <c r="S20" s="52" t="n">
        <v>1</v>
      </c>
      <c r="T20" s="52" t="s">
        <v>885</v>
      </c>
      <c r="U20" s="22" t="n">
        <f aca="false">F20*G20*H20*I20*K20*1*M20</f>
        <v>0.0065992868473423</v>
      </c>
      <c r="V20" s="22" t="n">
        <f aca="false">F20*G20*H20*I20*K20*L20*M20</f>
        <v>0.0065992868473423</v>
      </c>
      <c r="W20" s="22" t="s">
        <v>886</v>
      </c>
      <c r="X20" s="22" t="s">
        <v>887</v>
      </c>
    </row>
  </sheetData>
  <mergeCells count="1">
    <mergeCell ref="A1:N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N3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2" min="1" style="2" width="36"/>
    <col collapsed="false" customWidth="true" hidden="false" outlineLevel="0" max="4" min="3" style="2" width="10"/>
    <col collapsed="false" customWidth="true" hidden="false" outlineLevel="0" max="5" min="5" style="2" width="33"/>
    <col collapsed="false" customWidth="true" hidden="false" outlineLevel="0" max="8" min="6" style="2" width="14"/>
    <col collapsed="false" customWidth="true" hidden="false" outlineLevel="0" max="9" min="9" style="2" width="36"/>
    <col collapsed="false" customWidth="true" hidden="false" outlineLevel="0" max="11" min="10" style="1" width="36"/>
    <col collapsed="false" customWidth="true" hidden="false" outlineLevel="0" max="12" min="12" style="2" width="10"/>
    <col collapsed="false" customWidth="true" hidden="false" outlineLevel="0" max="13" min="13" style="1" width="22"/>
    <col collapsed="false" customWidth="true" hidden="false" outlineLevel="0" max="14" min="14" style="1" width="42"/>
  </cols>
  <sheetData>
    <row r="1" customFormat="false" ht="14.25" hidden="false" customHeight="true" outlineLevel="0" collapsed="false">
      <c r="A1" s="39" t="s">
        <v>916</v>
      </c>
      <c r="B1" s="39"/>
      <c r="C1" s="39"/>
      <c r="D1" s="39"/>
      <c r="E1" s="39"/>
      <c r="F1" s="39"/>
      <c r="G1" s="39"/>
      <c r="H1" s="39"/>
      <c r="I1" s="3"/>
      <c r="J1" s="3"/>
      <c r="K1" s="3"/>
      <c r="L1" s="3"/>
      <c r="M1" s="3"/>
      <c r="N1" s="3"/>
    </row>
    <row r="2" customFormat="false" ht="13.5" hidden="false" customHeight="true" outlineLevel="0" collapsed="false">
      <c r="A2" s="5"/>
      <c r="B2" s="5"/>
      <c r="C2" s="5"/>
      <c r="D2" s="5"/>
      <c r="E2" s="5"/>
      <c r="F2" s="5"/>
      <c r="G2" s="5"/>
      <c r="H2" s="5"/>
      <c r="I2" s="5"/>
      <c r="J2" s="5"/>
      <c r="K2" s="5"/>
      <c r="L2" s="5"/>
      <c r="M2" s="5"/>
      <c r="N2" s="5"/>
    </row>
    <row r="3" customFormat="false" ht="14.25" hidden="false" customHeight="true" outlineLevel="0" collapsed="false">
      <c r="A3" s="36" t="s">
        <v>917</v>
      </c>
      <c r="B3" s="5"/>
      <c r="C3" s="5"/>
      <c r="D3" s="5"/>
      <c r="E3" s="5"/>
      <c r="F3" s="5"/>
      <c r="G3" s="5"/>
      <c r="H3" s="5"/>
      <c r="I3" s="5"/>
      <c r="J3" s="5"/>
      <c r="K3" s="5"/>
      <c r="L3" s="5"/>
      <c r="M3" s="22" t="s">
        <v>918</v>
      </c>
      <c r="N3" s="5"/>
    </row>
    <row r="4" customFormat="false" ht="14.25" hidden="false" customHeight="true" outlineLevel="0" collapsed="false">
      <c r="A4" s="36" t="s">
        <v>919</v>
      </c>
      <c r="B4" s="5"/>
      <c r="C4" s="5"/>
      <c r="D4" s="5"/>
      <c r="E4" s="5"/>
      <c r="F4" s="5"/>
      <c r="G4" s="5"/>
      <c r="H4" s="5"/>
      <c r="I4" s="5"/>
      <c r="J4" s="5"/>
      <c r="K4" s="5"/>
      <c r="L4" s="5"/>
      <c r="M4" s="22" t="s">
        <v>920</v>
      </c>
      <c r="N4" s="22" t="n">
        <f aca="false">SUM(C10:C16)</f>
        <v>1</v>
      </c>
    </row>
    <row r="5" customFormat="false" ht="14.25" hidden="false" customHeight="true" outlineLevel="0" collapsed="false">
      <c r="A5" s="36" t="s">
        <v>921</v>
      </c>
      <c r="B5" s="5"/>
      <c r="C5" s="5"/>
      <c r="D5" s="5"/>
      <c r="E5" s="5"/>
      <c r="F5" s="5"/>
      <c r="G5" s="5"/>
      <c r="H5" s="5"/>
      <c r="I5" s="5"/>
      <c r="J5" s="22" t="s">
        <v>922</v>
      </c>
      <c r="K5" s="5"/>
      <c r="L5" s="5"/>
      <c r="M5" s="22" t="s">
        <v>923</v>
      </c>
      <c r="N5" s="22" t="str">
        <f aca="false">IF(ABS(N4-1)&lt;=0.000001,"PASS","FAIL")</f>
        <v>PASS</v>
      </c>
    </row>
    <row r="6" customFormat="false" ht="14.25" hidden="false" customHeight="true" outlineLevel="0" collapsed="false">
      <c r="A6" s="37" t="s">
        <v>924</v>
      </c>
      <c r="B6" s="5"/>
      <c r="C6" s="5"/>
      <c r="D6" s="5"/>
      <c r="E6" s="5"/>
      <c r="F6" s="5"/>
      <c r="G6" s="5"/>
      <c r="H6" s="5"/>
      <c r="I6" s="5"/>
      <c r="J6" s="5"/>
      <c r="K6" s="5"/>
      <c r="L6" s="5"/>
      <c r="M6" s="22" t="s">
        <v>925</v>
      </c>
      <c r="N6" s="22" t="n">
        <f aca="false">SUM(C21:C27)</f>
        <v>1</v>
      </c>
    </row>
    <row r="7" customFormat="false" ht="13.5" hidden="false" customHeight="true" outlineLevel="0" collapsed="false">
      <c r="A7" s="5"/>
      <c r="B7" s="5"/>
      <c r="C7" s="5"/>
      <c r="D7" s="5"/>
      <c r="E7" s="5"/>
      <c r="F7" s="5"/>
      <c r="G7" s="5"/>
      <c r="H7" s="5"/>
      <c r="I7" s="5"/>
      <c r="J7" s="5"/>
      <c r="K7" s="5"/>
      <c r="L7" s="5"/>
      <c r="M7" s="22" t="s">
        <v>926</v>
      </c>
      <c r="N7" s="22" t="str">
        <f aca="false">IF(ABS(N6-1)&lt;=0.000001,"PASS","FAIL")</f>
        <v>PASS</v>
      </c>
    </row>
    <row r="8" customFormat="false" ht="14.25" hidden="false" customHeight="true" outlineLevel="0" collapsed="false">
      <c r="A8" s="37" t="s">
        <v>927</v>
      </c>
      <c r="B8" s="5"/>
      <c r="C8" s="5"/>
      <c r="D8" s="5"/>
      <c r="E8" s="5"/>
      <c r="F8" s="5"/>
      <c r="G8" s="5"/>
      <c r="H8" s="5"/>
      <c r="I8" s="5"/>
      <c r="J8" s="5"/>
      <c r="K8" s="5"/>
      <c r="L8" s="5"/>
      <c r="M8" s="22" t="s">
        <v>928</v>
      </c>
      <c r="N8" s="22" t="s">
        <v>929</v>
      </c>
    </row>
    <row r="9" customFormat="false" ht="14.25" hidden="false" customHeight="true" outlineLevel="0" collapsed="false">
      <c r="A9" s="37" t="s">
        <v>930</v>
      </c>
      <c r="B9" s="37" t="s">
        <v>820</v>
      </c>
      <c r="C9" s="37" t="s">
        <v>931</v>
      </c>
      <c r="D9" s="37" t="s">
        <v>932</v>
      </c>
      <c r="E9" s="37" t="s">
        <v>933</v>
      </c>
      <c r="F9" s="36" t="s">
        <v>934</v>
      </c>
      <c r="G9" s="36" t="s">
        <v>935</v>
      </c>
      <c r="H9" s="36" t="s">
        <v>936</v>
      </c>
      <c r="I9" s="36" t="s">
        <v>937</v>
      </c>
      <c r="J9" s="36" t="s">
        <v>938</v>
      </c>
      <c r="K9" s="36" t="s">
        <v>939</v>
      </c>
      <c r="L9" s="5"/>
      <c r="M9" s="5"/>
      <c r="N9" s="5"/>
    </row>
    <row r="10" customFormat="false" ht="14.25" hidden="false" customHeight="true" outlineLevel="0" collapsed="false">
      <c r="A10" s="36" t="s">
        <v>940</v>
      </c>
      <c r="B10" s="36" t="s">
        <v>941</v>
      </c>
      <c r="C10" s="36" t="n">
        <v>0.6</v>
      </c>
      <c r="D10" s="49" t="n">
        <f aca="false">I10</f>
        <v>0</v>
      </c>
      <c r="E10" s="36" t="s">
        <v>942</v>
      </c>
      <c r="F10" s="49" t="n">
        <v>0</v>
      </c>
      <c r="G10" s="49" t="n">
        <v>0</v>
      </c>
      <c r="H10" s="49" t="n">
        <v>0.015317</v>
      </c>
      <c r="I10" s="49" t="n">
        <f aca="false">0.35*MAX(0,-F10)+0.3*MAX(0,-G10)+0.35*MAX(0,-H10)</f>
        <v>0</v>
      </c>
      <c r="J10" s="49" t="s">
        <v>943</v>
      </c>
      <c r="K10" s="49" t="s">
        <v>944</v>
      </c>
      <c r="L10" s="5"/>
      <c r="M10" s="5"/>
      <c r="N10" s="5"/>
    </row>
    <row r="11" customFormat="false" ht="14.25" hidden="false" customHeight="true" outlineLevel="0" collapsed="false">
      <c r="A11" s="36" t="s">
        <v>945</v>
      </c>
      <c r="B11" s="36" t="s">
        <v>191</v>
      </c>
      <c r="C11" s="36" t="n">
        <v>0.15</v>
      </c>
      <c r="D11" s="49" t="n">
        <f aca="false">I11</f>
        <v>0.007</v>
      </c>
      <c r="E11" s="36" t="s">
        <v>946</v>
      </c>
      <c r="F11" s="36" t="n">
        <v>-0.02</v>
      </c>
      <c r="G11" s="36" t="n">
        <v>0</v>
      </c>
      <c r="H11" s="36" t="n">
        <v>0.01</v>
      </c>
      <c r="I11" s="49" t="n">
        <f aca="false">0.35*MAX(0,-F11)+0.3*MAX(0,-G11)+0.35*MAX(0,-H11)</f>
        <v>0.007</v>
      </c>
      <c r="J11" s="36" t="s">
        <v>943</v>
      </c>
      <c r="K11" s="36" t="s">
        <v>944</v>
      </c>
      <c r="L11" s="5"/>
      <c r="M11" s="5"/>
      <c r="N11" s="5"/>
    </row>
    <row r="12" customFormat="false" ht="14.25" hidden="false" customHeight="true" outlineLevel="0" collapsed="false">
      <c r="A12" s="36" t="s">
        <v>947</v>
      </c>
      <c r="B12" s="36" t="s">
        <v>189</v>
      </c>
      <c r="C12" s="36" t="n">
        <v>0.08</v>
      </c>
      <c r="D12" s="49" t="n">
        <f aca="false">I12</f>
        <v>0.0175</v>
      </c>
      <c r="E12" s="36" t="s">
        <v>948</v>
      </c>
      <c r="F12" s="36" t="n">
        <v>-0.05</v>
      </c>
      <c r="G12" s="36" t="n">
        <v>0</v>
      </c>
      <c r="H12" s="36" t="n">
        <v>0.02</v>
      </c>
      <c r="I12" s="49" t="n">
        <f aca="false">0.35*MAX(0,-F12)+0.3*MAX(0,-G12)+0.35*MAX(0,-H12)</f>
        <v>0.0175</v>
      </c>
      <c r="J12" s="36" t="s">
        <v>943</v>
      </c>
      <c r="K12" s="36" t="s">
        <v>944</v>
      </c>
      <c r="L12" s="5"/>
      <c r="M12" s="5"/>
      <c r="N12" s="5"/>
    </row>
    <row r="13" customFormat="false" ht="14.25" hidden="false" customHeight="true" outlineLevel="0" collapsed="false">
      <c r="A13" s="36" t="s">
        <v>949</v>
      </c>
      <c r="B13" s="36" t="s">
        <v>190</v>
      </c>
      <c r="C13" s="36" t="n">
        <v>0.07</v>
      </c>
      <c r="D13" s="49" t="n">
        <f aca="false">I13</f>
        <v>0.0195</v>
      </c>
      <c r="E13" s="36" t="s">
        <v>950</v>
      </c>
      <c r="F13" s="36" t="n">
        <v>-0.01</v>
      </c>
      <c r="G13" s="36" t="n">
        <v>-0.03</v>
      </c>
      <c r="H13" s="36" t="n">
        <v>-0.02</v>
      </c>
      <c r="I13" s="49" t="n">
        <f aca="false">0.35*MAX(0,-F13)+0.3*MAX(0,-G13)+0.35*MAX(0,-H13)</f>
        <v>0.0195</v>
      </c>
      <c r="J13" s="36" t="s">
        <v>943</v>
      </c>
      <c r="K13" s="36" t="s">
        <v>944</v>
      </c>
      <c r="L13" s="5"/>
      <c r="M13" s="5"/>
      <c r="N13" s="5"/>
    </row>
    <row r="14" customFormat="false" ht="14.25" hidden="false" customHeight="true" outlineLevel="0" collapsed="false">
      <c r="A14" s="36" t="s">
        <v>951</v>
      </c>
      <c r="B14" s="36" t="s">
        <v>193</v>
      </c>
      <c r="C14" s="36" t="n">
        <v>0.05</v>
      </c>
      <c r="D14" s="49" t="n">
        <f aca="false">I14</f>
        <v>0.0135</v>
      </c>
      <c r="E14" s="36" t="s">
        <v>952</v>
      </c>
      <c r="F14" s="36" t="n">
        <v>-0.03</v>
      </c>
      <c r="G14" s="36" t="n">
        <v>-0.01</v>
      </c>
      <c r="H14" s="36" t="n">
        <v>0.01</v>
      </c>
      <c r="I14" s="49" t="n">
        <f aca="false">0.35*MAX(0,-F14)+0.3*MAX(0,-G14)+0.35*MAX(0,-H14)</f>
        <v>0.0135</v>
      </c>
      <c r="J14" s="36" t="s">
        <v>943</v>
      </c>
      <c r="K14" s="36" t="s">
        <v>944</v>
      </c>
      <c r="L14" s="5"/>
      <c r="M14" s="5"/>
      <c r="N14" s="5"/>
    </row>
    <row r="15" customFormat="false" ht="14.25" hidden="false" customHeight="true" outlineLevel="0" collapsed="false">
      <c r="A15" s="36" t="s">
        <v>953</v>
      </c>
      <c r="B15" s="36" t="s">
        <v>192</v>
      </c>
      <c r="C15" s="36" t="n">
        <v>0.03</v>
      </c>
      <c r="D15" s="49" t="n">
        <f aca="false">I15</f>
        <v>0.0235</v>
      </c>
      <c r="E15" s="36" t="s">
        <v>954</v>
      </c>
      <c r="F15" s="36" t="n">
        <v>-0.04</v>
      </c>
      <c r="G15" s="36" t="n">
        <v>-0.02</v>
      </c>
      <c r="H15" s="36" t="n">
        <v>-0.01</v>
      </c>
      <c r="I15" s="49" t="n">
        <f aca="false">0.35*MAX(0,-F15)+0.3*MAX(0,-G15)+0.35*MAX(0,-H15)</f>
        <v>0.0235</v>
      </c>
      <c r="J15" s="36" t="s">
        <v>943</v>
      </c>
      <c r="K15" s="36" t="s">
        <v>944</v>
      </c>
      <c r="L15" s="5"/>
      <c r="M15" s="5"/>
      <c r="N15" s="5"/>
    </row>
    <row r="16" customFormat="false" ht="14.25" hidden="false" customHeight="true" outlineLevel="0" collapsed="false">
      <c r="A16" s="36" t="s">
        <v>955</v>
      </c>
      <c r="B16" s="36" t="s">
        <v>194</v>
      </c>
      <c r="C16" s="36" t="n">
        <v>0.02</v>
      </c>
      <c r="D16" s="49" t="n">
        <f aca="false">I16</f>
        <v>0.01</v>
      </c>
      <c r="E16" s="36" t="s">
        <v>956</v>
      </c>
      <c r="F16" s="36" t="n">
        <v>-0.02</v>
      </c>
      <c r="G16" s="36" t="n">
        <v>-0.01</v>
      </c>
      <c r="H16" s="36" t="n">
        <v>0</v>
      </c>
      <c r="I16" s="49" t="n">
        <f aca="false">0.35*MAX(0,-F16)+0.3*MAX(0,-G16)+0.35*MAX(0,-H16)</f>
        <v>0.01</v>
      </c>
      <c r="J16" s="36" t="s">
        <v>943</v>
      </c>
      <c r="K16" s="36" t="s">
        <v>944</v>
      </c>
      <c r="L16" s="5"/>
      <c r="M16" s="5"/>
      <c r="N16" s="5"/>
    </row>
    <row r="17" customFormat="false" ht="13.5" hidden="false" customHeight="true" outlineLevel="0" collapsed="false">
      <c r="A17" s="5"/>
      <c r="B17" s="5"/>
      <c r="C17" s="5"/>
      <c r="D17" s="5"/>
      <c r="E17" s="5"/>
      <c r="F17" s="5"/>
      <c r="G17" s="5"/>
      <c r="H17" s="5"/>
      <c r="I17" s="5"/>
      <c r="J17" s="5"/>
      <c r="K17" s="5"/>
      <c r="L17" s="5"/>
      <c r="M17" s="5"/>
      <c r="N17" s="5"/>
    </row>
    <row r="18" customFormat="false" ht="13.5" hidden="false" customHeight="true" outlineLevel="0" collapsed="false">
      <c r="A18" s="5"/>
      <c r="B18" s="5"/>
      <c r="C18" s="5"/>
      <c r="D18" s="5"/>
      <c r="E18" s="5"/>
      <c r="F18" s="5"/>
      <c r="G18" s="5"/>
      <c r="H18" s="5"/>
      <c r="I18" s="5"/>
      <c r="J18" s="5"/>
      <c r="K18" s="5"/>
      <c r="L18" s="5"/>
      <c r="M18" s="5"/>
      <c r="N18" s="5"/>
    </row>
    <row r="19" customFormat="false" ht="14.25" hidden="false" customHeight="true" outlineLevel="0" collapsed="false">
      <c r="A19" s="37" t="s">
        <v>957</v>
      </c>
      <c r="B19" s="5"/>
      <c r="C19" s="5"/>
      <c r="D19" s="5"/>
      <c r="E19" s="5"/>
      <c r="F19" s="5"/>
      <c r="G19" s="5"/>
      <c r="H19" s="5"/>
      <c r="I19" s="5"/>
      <c r="J19" s="5"/>
      <c r="K19" s="5"/>
      <c r="L19" s="5"/>
      <c r="M19" s="5"/>
      <c r="N19" s="5"/>
    </row>
    <row r="20" customFormat="false" ht="14.25" hidden="false" customHeight="true" outlineLevel="0" collapsed="false">
      <c r="A20" s="37" t="s">
        <v>930</v>
      </c>
      <c r="B20" s="37" t="s">
        <v>820</v>
      </c>
      <c r="C20" s="37" t="s">
        <v>931</v>
      </c>
      <c r="D20" s="37" t="s">
        <v>932</v>
      </c>
      <c r="E20" s="37" t="s">
        <v>933</v>
      </c>
      <c r="F20" s="36" t="s">
        <v>934</v>
      </c>
      <c r="G20" s="36" t="s">
        <v>935</v>
      </c>
      <c r="H20" s="36" t="s">
        <v>936</v>
      </c>
      <c r="I20" s="36" t="s">
        <v>937</v>
      </c>
      <c r="J20" s="36" t="s">
        <v>938</v>
      </c>
      <c r="K20" s="36" t="s">
        <v>939</v>
      </c>
      <c r="L20" s="5"/>
      <c r="M20" s="5"/>
      <c r="N20" s="5"/>
    </row>
    <row r="21" customFormat="false" ht="14.25" hidden="false" customHeight="true" outlineLevel="0" collapsed="false">
      <c r="A21" s="36" t="s">
        <v>940</v>
      </c>
      <c r="B21" s="36" t="s">
        <v>941</v>
      </c>
      <c r="C21" s="36" t="n">
        <v>0.6</v>
      </c>
      <c r="D21" s="49" t="n">
        <f aca="false">I21</f>
        <v>0.00357385</v>
      </c>
      <c r="E21" s="36" t="s">
        <v>958</v>
      </c>
      <c r="F21" s="49" t="n">
        <v>0</v>
      </c>
      <c r="G21" s="49" t="n">
        <v>0</v>
      </c>
      <c r="H21" s="49" t="n">
        <v>-0.010211</v>
      </c>
      <c r="I21" s="49" t="n">
        <f aca="false">0.35*MAX(0,-F21)+0.3*MAX(0,-G21)+0.35*MAX(0,-H21)</f>
        <v>0.00357385</v>
      </c>
      <c r="J21" s="49" t="s">
        <v>943</v>
      </c>
      <c r="K21" s="49" t="s">
        <v>944</v>
      </c>
      <c r="L21" s="5"/>
      <c r="M21" s="5"/>
      <c r="N21" s="5"/>
    </row>
    <row r="22" customFormat="false" ht="14.25" hidden="false" customHeight="true" outlineLevel="0" collapsed="false">
      <c r="A22" s="36" t="s">
        <v>945</v>
      </c>
      <c r="B22" s="36" t="s">
        <v>191</v>
      </c>
      <c r="C22" s="36" t="n">
        <v>0.15</v>
      </c>
      <c r="D22" s="49" t="n">
        <f aca="false">I22</f>
        <v>0.0105</v>
      </c>
      <c r="E22" s="36" t="s">
        <v>959</v>
      </c>
      <c r="F22" s="36" t="n">
        <v>-0.015</v>
      </c>
      <c r="G22" s="36" t="n">
        <v>0</v>
      </c>
      <c r="H22" s="36" t="n">
        <v>-0.015</v>
      </c>
      <c r="I22" s="49" t="n">
        <f aca="false">0.35*MAX(0,-F22)+0.3*MAX(0,-G22)+0.35*MAX(0,-H22)</f>
        <v>0.0105</v>
      </c>
      <c r="J22" s="36" t="s">
        <v>943</v>
      </c>
      <c r="K22" s="36" t="s">
        <v>944</v>
      </c>
      <c r="L22" s="5"/>
      <c r="M22" s="5"/>
      <c r="N22" s="5"/>
    </row>
    <row r="23" customFormat="false" ht="14.25" hidden="false" customHeight="true" outlineLevel="0" collapsed="false">
      <c r="A23" s="36" t="s">
        <v>947</v>
      </c>
      <c r="B23" s="36" t="s">
        <v>189</v>
      </c>
      <c r="C23" s="36" t="n">
        <v>0.08</v>
      </c>
      <c r="D23" s="49" t="n">
        <f aca="false">I23</f>
        <v>0.0315</v>
      </c>
      <c r="E23" s="36" t="s">
        <v>960</v>
      </c>
      <c r="F23" s="36" t="n">
        <v>-0.08</v>
      </c>
      <c r="G23" s="36" t="n">
        <v>0</v>
      </c>
      <c r="H23" s="36" t="n">
        <v>-0.01</v>
      </c>
      <c r="I23" s="49" t="n">
        <f aca="false">0.35*MAX(0,-F23)+0.3*MAX(0,-G23)+0.35*MAX(0,-H23)</f>
        <v>0.0315</v>
      </c>
      <c r="J23" s="36" t="s">
        <v>943</v>
      </c>
      <c r="K23" s="36" t="s">
        <v>944</v>
      </c>
      <c r="L23" s="5"/>
      <c r="M23" s="5"/>
      <c r="N23" s="5"/>
    </row>
    <row r="24" customFormat="false" ht="14.25" hidden="false" customHeight="true" outlineLevel="0" collapsed="false">
      <c r="A24" s="36" t="s">
        <v>949</v>
      </c>
      <c r="B24" s="36" t="s">
        <v>190</v>
      </c>
      <c r="C24" s="36" t="n">
        <v>0.07</v>
      </c>
      <c r="D24" s="49" t="n">
        <f aca="false">I24</f>
        <v>0.0235</v>
      </c>
      <c r="E24" s="36" t="s">
        <v>961</v>
      </c>
      <c r="F24" s="36" t="n">
        <v>-0.01</v>
      </c>
      <c r="G24" s="36" t="n">
        <v>-0.02</v>
      </c>
      <c r="H24" s="36" t="n">
        <v>-0.04</v>
      </c>
      <c r="I24" s="49" t="n">
        <f aca="false">0.35*MAX(0,-F24)+0.3*MAX(0,-G24)+0.35*MAX(0,-H24)</f>
        <v>0.0235</v>
      </c>
      <c r="J24" s="36" t="s">
        <v>943</v>
      </c>
      <c r="K24" s="36" t="s">
        <v>944</v>
      </c>
      <c r="L24" s="5"/>
      <c r="M24" s="5"/>
      <c r="N24" s="5"/>
    </row>
    <row r="25" customFormat="false" ht="14.25" hidden="false" customHeight="true" outlineLevel="0" collapsed="false">
      <c r="A25" s="36" t="s">
        <v>951</v>
      </c>
      <c r="B25" s="36" t="s">
        <v>193</v>
      </c>
      <c r="C25" s="36" t="n">
        <v>0.05</v>
      </c>
      <c r="D25" s="49" t="n">
        <f aca="false">I25</f>
        <v>0.0135</v>
      </c>
      <c r="E25" s="36" t="s">
        <v>962</v>
      </c>
      <c r="F25" s="36" t="n">
        <v>-0.02</v>
      </c>
      <c r="G25" s="36" t="n">
        <v>-0.01</v>
      </c>
      <c r="H25" s="36" t="n">
        <v>-0.01</v>
      </c>
      <c r="I25" s="49" t="n">
        <f aca="false">0.35*MAX(0,-F25)+0.3*MAX(0,-G25)+0.35*MAX(0,-H25)</f>
        <v>0.0135</v>
      </c>
      <c r="J25" s="36" t="s">
        <v>943</v>
      </c>
      <c r="K25" s="36" t="s">
        <v>944</v>
      </c>
      <c r="L25" s="5"/>
      <c r="M25" s="5"/>
      <c r="N25" s="5"/>
    </row>
    <row r="26" customFormat="false" ht="14.25" hidden="false" customHeight="true" outlineLevel="0" collapsed="false">
      <c r="A26" s="36" t="s">
        <v>953</v>
      </c>
      <c r="B26" s="36" t="s">
        <v>192</v>
      </c>
      <c r="C26" s="36" t="n">
        <v>0.03</v>
      </c>
      <c r="D26" s="49" t="n">
        <f aca="false">I26</f>
        <v>0.02175</v>
      </c>
      <c r="E26" s="36" t="s">
        <v>963</v>
      </c>
      <c r="F26" s="36" t="n">
        <v>-0.03</v>
      </c>
      <c r="G26" s="36" t="n">
        <v>-0.02</v>
      </c>
      <c r="H26" s="36" t="n">
        <v>-0.015</v>
      </c>
      <c r="I26" s="49" t="n">
        <f aca="false">0.35*MAX(0,-F26)+0.3*MAX(0,-G26)+0.35*MAX(0,-H26)</f>
        <v>0.02175</v>
      </c>
      <c r="J26" s="36" t="s">
        <v>943</v>
      </c>
      <c r="K26" s="36" t="s">
        <v>944</v>
      </c>
      <c r="L26" s="5"/>
      <c r="M26" s="5"/>
      <c r="N26" s="5"/>
    </row>
    <row r="27" customFormat="false" ht="14.25" hidden="false" customHeight="true" outlineLevel="0" collapsed="false">
      <c r="A27" s="36" t="s">
        <v>955</v>
      </c>
      <c r="B27" s="36" t="s">
        <v>194</v>
      </c>
      <c r="C27" s="36" t="n">
        <v>0.02</v>
      </c>
      <c r="D27" s="49" t="n">
        <f aca="false">I27</f>
        <v>0.007</v>
      </c>
      <c r="E27" s="36" t="s">
        <v>964</v>
      </c>
      <c r="F27" s="36" t="n">
        <v>-0.01</v>
      </c>
      <c r="G27" s="36" t="n">
        <v>0</v>
      </c>
      <c r="H27" s="36" t="n">
        <v>-0.01</v>
      </c>
      <c r="I27" s="49" t="n">
        <f aca="false">0.35*MAX(0,-F27)+0.3*MAX(0,-G27)+0.35*MAX(0,-H27)</f>
        <v>0.007</v>
      </c>
      <c r="J27" s="36" t="s">
        <v>943</v>
      </c>
      <c r="K27" s="36" t="s">
        <v>944</v>
      </c>
      <c r="L27" s="5"/>
      <c r="M27" s="5"/>
      <c r="N27" s="5"/>
    </row>
    <row r="28" customFormat="false" ht="13.5" hidden="false" customHeight="true" outlineLevel="0" collapsed="false">
      <c r="A28" s="5"/>
      <c r="B28" s="5"/>
      <c r="C28" s="5"/>
      <c r="D28" s="5"/>
      <c r="E28" s="5"/>
      <c r="F28" s="5"/>
      <c r="G28" s="5"/>
      <c r="H28" s="5"/>
      <c r="I28" s="5"/>
      <c r="J28" s="5"/>
      <c r="K28" s="5"/>
      <c r="L28" s="5"/>
      <c r="M28" s="5"/>
      <c r="N28" s="5"/>
    </row>
    <row r="29" customFormat="false" ht="14.25" hidden="false" customHeight="true" outlineLevel="0" collapsed="false">
      <c r="A29" s="36" t="s">
        <v>965</v>
      </c>
      <c r="B29" s="5"/>
      <c r="C29" s="5"/>
      <c r="D29" s="5"/>
      <c r="E29" s="5"/>
      <c r="F29" s="5"/>
      <c r="G29" s="5"/>
      <c r="H29" s="5"/>
      <c r="I29" s="5"/>
      <c r="J29" s="5"/>
      <c r="K29" s="5"/>
      <c r="L29" s="5"/>
      <c r="M29" s="5"/>
      <c r="N29" s="5"/>
    </row>
    <row r="30" customFormat="false" ht="14.25" hidden="false" customHeight="true" outlineLevel="0" collapsed="false">
      <c r="A30" s="37" t="s">
        <v>966</v>
      </c>
      <c r="B30" s="5"/>
      <c r="C30" s="5"/>
      <c r="D30" s="5"/>
      <c r="E30" s="5"/>
      <c r="F30" s="5"/>
      <c r="G30" s="5"/>
      <c r="H30" s="5"/>
      <c r="I30" s="5"/>
      <c r="J30" s="5"/>
      <c r="K30" s="5"/>
      <c r="L30" s="5"/>
      <c r="M30" s="5"/>
      <c r="N30" s="5"/>
    </row>
    <row r="31" customFormat="false" ht="14.25" hidden="false" customHeight="true" outlineLevel="0" collapsed="false">
      <c r="A31" s="36" t="s">
        <v>967</v>
      </c>
      <c r="B31" s="36" t="s">
        <v>968</v>
      </c>
      <c r="C31" s="5"/>
      <c r="D31" s="5"/>
      <c r="E31" s="5"/>
      <c r="F31" s="5"/>
      <c r="G31" s="5"/>
      <c r="H31" s="5"/>
      <c r="I31" s="5"/>
      <c r="J31" s="5"/>
      <c r="K31" s="5"/>
      <c r="L31" s="5"/>
      <c r="M31" s="5"/>
      <c r="N31" s="5"/>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2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8" min="1" style="2" width="36"/>
    <col collapsed="false" customWidth="true" hidden="false" outlineLevel="0" max="9" min="9" style="2" width="10"/>
  </cols>
  <sheetData>
    <row r="1" customFormat="false" ht="14.25" hidden="false" customHeight="true" outlineLevel="0" collapsed="false">
      <c r="A1" s="39" t="s">
        <v>969</v>
      </c>
      <c r="B1" s="39"/>
      <c r="C1" s="39"/>
      <c r="D1" s="39"/>
      <c r="E1" s="39"/>
      <c r="F1" s="39"/>
      <c r="G1" s="39"/>
      <c r="H1" s="39"/>
      <c r="I1" s="39"/>
    </row>
    <row r="2" customFormat="false" ht="13.5" hidden="false" customHeight="true" outlineLevel="0" collapsed="false">
      <c r="A2" s="5"/>
      <c r="B2" s="5"/>
      <c r="C2" s="5"/>
      <c r="D2" s="5"/>
      <c r="E2" s="5"/>
      <c r="F2" s="5"/>
      <c r="G2" s="5"/>
      <c r="H2" s="5"/>
      <c r="I2" s="5"/>
    </row>
    <row r="3" customFormat="false" ht="14.25" hidden="false" customHeight="true" outlineLevel="0" collapsed="false">
      <c r="A3" s="36" t="s">
        <v>970</v>
      </c>
      <c r="B3" s="5"/>
      <c r="C3" s="5"/>
      <c r="D3" s="5"/>
      <c r="E3" s="5"/>
      <c r="F3" s="5"/>
      <c r="G3" s="5"/>
      <c r="H3" s="5"/>
      <c r="I3" s="5"/>
    </row>
    <row r="4" customFormat="false" ht="13.5" hidden="false" customHeight="true" outlineLevel="0" collapsed="false">
      <c r="A4" s="5"/>
      <c r="B4" s="5"/>
      <c r="C4" s="5"/>
      <c r="D4" s="5"/>
      <c r="E4" s="5"/>
      <c r="F4" s="5"/>
      <c r="G4" s="5"/>
      <c r="H4" s="5"/>
      <c r="I4" s="5"/>
    </row>
    <row r="5" customFormat="false" ht="14.25" hidden="false" customHeight="true" outlineLevel="0" collapsed="false">
      <c r="A5" s="37" t="s">
        <v>971</v>
      </c>
      <c r="B5" s="5"/>
      <c r="C5" s="5"/>
      <c r="D5" s="5"/>
      <c r="E5" s="5"/>
      <c r="F5" s="5"/>
      <c r="G5" s="5"/>
      <c r="H5" s="5"/>
      <c r="I5" s="5"/>
    </row>
    <row r="6" customFormat="false" ht="14.25" hidden="false" customHeight="true" outlineLevel="0" collapsed="false">
      <c r="A6" s="5"/>
      <c r="B6" s="37" t="s">
        <v>771</v>
      </c>
      <c r="C6" s="37" t="s">
        <v>761</v>
      </c>
      <c r="D6" s="37" t="s">
        <v>770</v>
      </c>
      <c r="E6" s="37" t="s">
        <v>772</v>
      </c>
      <c r="F6" s="37" t="s">
        <v>769</v>
      </c>
      <c r="G6" s="37" t="s">
        <v>895</v>
      </c>
      <c r="H6" s="37" t="s">
        <v>767</v>
      </c>
      <c r="I6" s="5"/>
    </row>
    <row r="7" customFormat="false" ht="14.25" hidden="false" customHeight="true" outlineLevel="0" collapsed="false">
      <c r="A7" s="37" t="s">
        <v>760</v>
      </c>
      <c r="B7" s="49" t="n">
        <f aca="false">TANH(Parameters!$B$24*SUMIFS(Impact_Input!$N:$N,Impact_Input!$B:$B,"A",Impact_Input!$C:$C,$A7,Impact_Input!$D:$D,B$6))</f>
        <v>0</v>
      </c>
      <c r="C7" s="49" t="n">
        <f aca="false">TANH(Parameters!$B$24*SUMIFS(Impact_Input!$N:$N,Impact_Input!$B:$B,"A",Impact_Input!$C:$C,$A7,Impact_Input!$D:$D,C$6))</f>
        <v>0</v>
      </c>
      <c r="D7" s="49" t="n">
        <f aca="false">TANH(Parameters!$B$24*SUMIFS(Impact_Input!$N:$N,Impact_Input!$B:$B,"A",Impact_Input!$C:$C,$A7,Impact_Input!$D:$D,D$6))</f>
        <v>0</v>
      </c>
      <c r="E7" s="49" t="n">
        <f aca="false">TANH(Parameters!$B$24*SUMIFS(Impact_Input!$N:$N,Impact_Input!$B:$B,"A",Impact_Input!$C:$C,$A7,Impact_Input!$D:$D,E$6))</f>
        <v>0</v>
      </c>
      <c r="F7" s="53" t="n">
        <f aca="false">TANH(Parameters!$B$24*SUMIFS(Impact_Input!$N:$N,Impact_Input!$B:$B,"A",Impact_Input!$C:$C,$A7,Impact_Input!$D:$D,F$6))</f>
        <v>0.249007884327423</v>
      </c>
      <c r="G7" s="53" t="n">
        <f aca="false">TANH(Parameters!$B$24*SUMIFS(Impact_Input!$N:$N,Impact_Input!$B:$B,"A",Impact_Input!$C:$C,$A7,Impact_Input!$D:$D,G$6))</f>
        <v>0.143259855793144</v>
      </c>
      <c r="H7" s="49" t="n">
        <f aca="false">TANH(Parameters!$B$24*SUMIFS(Impact_Input!$N:$N,Impact_Input!$B:$B,"A",Impact_Input!$C:$C,$A7,Impact_Input!$D:$D,H$6))</f>
        <v>0</v>
      </c>
      <c r="I7" s="5"/>
    </row>
    <row r="8" customFormat="false" ht="14.25" hidden="false" customHeight="true" outlineLevel="0" collapsed="false">
      <c r="A8" s="37" t="s">
        <v>762</v>
      </c>
      <c r="B8" s="53" t="n">
        <f aca="false">TANH(Parameters!$B$24*SUMIFS(Impact_Input!$N:$N,Impact_Input!$B:$B,"A",Impact_Input!$C:$C,$A8,Impact_Input!$D:$D,B$6))</f>
        <v>0.0461621762340888</v>
      </c>
      <c r="C8" s="49" t="n">
        <f aca="false">TANH(Parameters!$B$24*SUMIFS(Impact_Input!$N:$N,Impact_Input!$B:$B,"A",Impact_Input!$C:$C,$A8,Impact_Input!$D:$D,C$6))</f>
        <v>0</v>
      </c>
      <c r="D8" s="49" t="n">
        <f aca="false">TANH(Parameters!$B$24*SUMIFS(Impact_Input!$N:$N,Impact_Input!$B:$B,"A",Impact_Input!$C:$C,$A8,Impact_Input!$D:$D,D$6))</f>
        <v>0</v>
      </c>
      <c r="E8" s="49" t="n">
        <f aca="false">TANH(Parameters!$B$24*SUMIFS(Impact_Input!$N:$N,Impact_Input!$B:$B,"A",Impact_Input!$C:$C,$A8,Impact_Input!$D:$D,E$6))</f>
        <v>0</v>
      </c>
      <c r="F8" s="49" t="n">
        <f aca="false">TANH(Parameters!$B$24*SUMIFS(Impact_Input!$N:$N,Impact_Input!$B:$B,"A",Impact_Input!$C:$C,$A8,Impact_Input!$D:$D,F$6))</f>
        <v>0</v>
      </c>
      <c r="G8" s="49" t="n">
        <f aca="false">TANH(Parameters!$B$24*SUMIFS(Impact_Input!$N:$N,Impact_Input!$B:$B,"A",Impact_Input!$C:$C,$A8,Impact_Input!$D:$D,G$6))</f>
        <v>0</v>
      </c>
      <c r="H8" s="49" t="n">
        <f aca="false">TANH(Parameters!$B$24*SUMIFS(Impact_Input!$N:$N,Impact_Input!$B:$B,"A",Impact_Input!$C:$C,$A8,Impact_Input!$D:$D,H$6))</f>
        <v>0</v>
      </c>
      <c r="I8" s="5"/>
    </row>
    <row r="9" customFormat="false" ht="14.25" hidden="false" customHeight="true" outlineLevel="0" collapsed="false">
      <c r="A9" s="37" t="s">
        <v>763</v>
      </c>
      <c r="B9" s="54" t="n">
        <f aca="false">TANH(Parameters!$B$24*SUMIFS(Impact_Input!$N:$N,Impact_Input!$B:$B,"A",Impact_Input!$C:$C,$A9,Impact_Input!$D:$D,B$6))</f>
        <v>-0.0197952743221616</v>
      </c>
      <c r="C9" s="49" t="n">
        <f aca="false">TANH(Parameters!$B$24*SUMIFS(Impact_Input!$N:$N,Impact_Input!$B:$B,"A",Impact_Input!$C:$C,$A9,Impact_Input!$D:$D,C$6))</f>
        <v>0</v>
      </c>
      <c r="D9" s="54" t="n">
        <f aca="false">TANH(Parameters!$B$24*SUMIFS(Impact_Input!$N:$N,Impact_Input!$B:$B,"A",Impact_Input!$C:$C,$A9,Impact_Input!$D:$D,D$6))</f>
        <v>-0.0807256868155385</v>
      </c>
      <c r="E9" s="49" t="n">
        <f aca="false">TANH(Parameters!$B$24*SUMIFS(Impact_Input!$N:$N,Impact_Input!$B:$B,"A",Impact_Input!$C:$C,$A9,Impact_Input!$D:$D,E$6))</f>
        <v>0</v>
      </c>
      <c r="F9" s="49" t="n">
        <f aca="false">TANH(Parameters!$B$24*SUMIFS(Impact_Input!$N:$N,Impact_Input!$B:$B,"A",Impact_Input!$C:$C,$A9,Impact_Input!$D:$D,F$6))</f>
        <v>0</v>
      </c>
      <c r="G9" s="49" t="n">
        <f aca="false">TANH(Parameters!$B$24*SUMIFS(Impact_Input!$N:$N,Impact_Input!$B:$B,"A",Impact_Input!$C:$C,$A9,Impact_Input!$D:$D,G$6))</f>
        <v>0</v>
      </c>
      <c r="H9" s="49" t="n">
        <f aca="false">TANH(Parameters!$B$24*SUMIFS(Impact_Input!$N:$N,Impact_Input!$B:$B,"A",Impact_Input!$C:$C,$A9,Impact_Input!$D:$D,H$6))</f>
        <v>0</v>
      </c>
      <c r="I9" s="5"/>
    </row>
    <row r="10" customFormat="false" ht="14.25" hidden="false" customHeight="true" outlineLevel="0" collapsed="false">
      <c r="A10" s="37" t="s">
        <v>764</v>
      </c>
      <c r="B10" s="54" t="n">
        <f aca="false">TANH(Parameters!$B$24*SUMIFS(Impact_Input!$N:$N,Impact_Input!$B:$B,"A",Impact_Input!$C:$C,$A10,Impact_Input!$D:$D,B$6))</f>
        <v>-0.0855694362958967</v>
      </c>
      <c r="C10" s="49" t="n">
        <f aca="false">TANH(Parameters!$B$24*SUMIFS(Impact_Input!$N:$N,Impact_Input!$B:$B,"A",Impact_Input!$C:$C,$A10,Impact_Input!$D:$D,C$6))</f>
        <v>0</v>
      </c>
      <c r="D10" s="49" t="n">
        <f aca="false">TANH(Parameters!$B$24*SUMIFS(Impact_Input!$N:$N,Impact_Input!$B:$B,"A",Impact_Input!$C:$C,$A10,Impact_Input!$D:$D,D$6))</f>
        <v>0</v>
      </c>
      <c r="E10" s="49" t="n">
        <f aca="false">TANH(Parameters!$B$24*SUMIFS(Impact_Input!$N:$N,Impact_Input!$B:$B,"A",Impact_Input!$C:$C,$A10,Impact_Input!$D:$D,E$6))</f>
        <v>0</v>
      </c>
      <c r="F10" s="49" t="n">
        <f aca="false">TANH(Parameters!$B$24*SUMIFS(Impact_Input!$N:$N,Impact_Input!$B:$B,"A",Impact_Input!$C:$C,$A10,Impact_Input!$D:$D,F$6))</f>
        <v>0</v>
      </c>
      <c r="G10" s="49" t="n">
        <f aca="false">TANH(Parameters!$B$24*SUMIFS(Impact_Input!$N:$N,Impact_Input!$B:$B,"A",Impact_Input!$C:$C,$A10,Impact_Input!$D:$D,G$6))</f>
        <v>0</v>
      </c>
      <c r="H10" s="49" t="n">
        <f aca="false">TANH(Parameters!$B$24*SUMIFS(Impact_Input!$N:$N,Impact_Input!$B:$B,"A",Impact_Input!$C:$C,$A10,Impact_Input!$D:$D,H$6))</f>
        <v>0</v>
      </c>
      <c r="I10" s="5"/>
    </row>
    <row r="11" customFormat="false" ht="14.25" hidden="false" customHeight="true" outlineLevel="0" collapsed="false">
      <c r="A11" s="37" t="s">
        <v>765</v>
      </c>
      <c r="B11" s="49" t="n">
        <f aca="false">TANH(Parameters!$B$24*SUMIFS(Impact_Input!$N:$N,Impact_Input!$B:$B,"A",Impact_Input!$C:$C,$A11,Impact_Input!$D:$D,B$6))</f>
        <v>0</v>
      </c>
      <c r="C11" s="49" t="n">
        <f aca="false">TANH(Parameters!$B$24*SUMIFS(Impact_Input!$N:$N,Impact_Input!$B:$B,"A",Impact_Input!$C:$C,$A11,Impact_Input!$D:$D,C$6))</f>
        <v>0</v>
      </c>
      <c r="D11" s="49" t="n">
        <f aca="false">TANH(Parameters!$B$24*SUMIFS(Impact_Input!$N:$N,Impact_Input!$B:$B,"A",Impact_Input!$C:$C,$A11,Impact_Input!$D:$D,D$6))</f>
        <v>0</v>
      </c>
      <c r="E11" s="49" t="n">
        <f aca="false">TANH(Parameters!$B$24*SUMIFS(Impact_Input!$N:$N,Impact_Input!$B:$B,"A",Impact_Input!$C:$C,$A11,Impact_Input!$D:$D,E$6))</f>
        <v>0</v>
      </c>
      <c r="F11" s="49" t="n">
        <f aca="false">TANH(Parameters!$B$24*SUMIFS(Impact_Input!$N:$N,Impact_Input!$B:$B,"A",Impact_Input!$C:$C,$A11,Impact_Input!$D:$D,F$6))</f>
        <v>0</v>
      </c>
      <c r="G11" s="49" t="n">
        <f aca="false">TANH(Parameters!$B$24*SUMIFS(Impact_Input!$N:$N,Impact_Input!$B:$B,"A",Impact_Input!$C:$C,$A11,Impact_Input!$D:$D,G$6))</f>
        <v>0</v>
      </c>
      <c r="H11" s="49" t="n">
        <f aca="false">TANH(Parameters!$B$24*SUMIFS(Impact_Input!$N:$N,Impact_Input!$B:$B,"A",Impact_Input!$C:$C,$A11,Impact_Input!$D:$D,H$6))</f>
        <v>0</v>
      </c>
      <c r="I11" s="5"/>
    </row>
    <row r="12" customFormat="false" ht="14.25" hidden="false" customHeight="true" outlineLevel="0" collapsed="false">
      <c r="A12" s="37" t="s">
        <v>766</v>
      </c>
      <c r="B12" s="49" t="n">
        <f aca="false">TANH(Parameters!$B$24*SUMIFS(Impact_Input!$N:$N,Impact_Input!$B:$B,"A",Impact_Input!$C:$C,$A12,Impact_Input!$D:$D,B$6))</f>
        <v>0</v>
      </c>
      <c r="C12" s="49" t="n">
        <f aca="false">TANH(Parameters!$B$24*SUMIFS(Impact_Input!$N:$N,Impact_Input!$B:$B,"A",Impact_Input!$C:$C,$A12,Impact_Input!$D:$D,C$6))</f>
        <v>0</v>
      </c>
      <c r="D12" s="49" t="n">
        <f aca="false">TANH(Parameters!$B$24*SUMIFS(Impact_Input!$N:$N,Impact_Input!$B:$B,"A",Impact_Input!$C:$C,$A12,Impact_Input!$D:$D,D$6))</f>
        <v>0</v>
      </c>
      <c r="E12" s="49" t="n">
        <f aca="false">TANH(Parameters!$B$24*SUMIFS(Impact_Input!$N:$N,Impact_Input!$B:$B,"A",Impact_Input!$C:$C,$A12,Impact_Input!$D:$D,E$6))</f>
        <v>0</v>
      </c>
      <c r="F12" s="49" t="n">
        <f aca="false">TANH(Parameters!$B$24*SUMIFS(Impact_Input!$N:$N,Impact_Input!$B:$B,"A",Impact_Input!$C:$C,$A12,Impact_Input!$D:$D,F$6))</f>
        <v>0</v>
      </c>
      <c r="G12" s="49" t="n">
        <f aca="false">TANH(Parameters!$B$24*SUMIFS(Impact_Input!$N:$N,Impact_Input!$B:$B,"A",Impact_Input!$C:$C,$A12,Impact_Input!$D:$D,G$6))</f>
        <v>0</v>
      </c>
      <c r="H12" s="49" t="n">
        <f aca="false">TANH(Parameters!$B$24*SUMIFS(Impact_Input!$N:$N,Impact_Input!$B:$B,"A",Impact_Input!$C:$C,$A12,Impact_Input!$D:$D,H$6))</f>
        <v>0</v>
      </c>
      <c r="I12" s="5"/>
    </row>
    <row r="13" customFormat="false" ht="14.25" hidden="false" customHeight="true" outlineLevel="0" collapsed="false">
      <c r="A13" s="37" t="s">
        <v>768</v>
      </c>
      <c r="B13" s="49" t="n">
        <f aca="false">TANH(Parameters!$B$24*SUMIFS(Impact_Input!$N:$N,Impact_Input!$B:$B,"A",Impact_Input!$C:$C,$A13,Impact_Input!$D:$D,B$6))</f>
        <v>0</v>
      </c>
      <c r="C13" s="49" t="n">
        <f aca="false">TANH(Parameters!$B$24*SUMIFS(Impact_Input!$N:$N,Impact_Input!$B:$B,"A",Impact_Input!$C:$C,$A13,Impact_Input!$D:$D,C$6))</f>
        <v>0</v>
      </c>
      <c r="D13" s="49" t="n">
        <f aca="false">TANH(Parameters!$B$24*SUMIFS(Impact_Input!$N:$N,Impact_Input!$B:$B,"A",Impact_Input!$C:$C,$A13,Impact_Input!$D:$D,D$6))</f>
        <v>0</v>
      </c>
      <c r="E13" s="49" t="n">
        <f aca="false">TANH(Parameters!$B$24*SUMIFS(Impact_Input!$N:$N,Impact_Input!$B:$B,"A",Impact_Input!$C:$C,$A13,Impact_Input!$D:$D,E$6))</f>
        <v>0</v>
      </c>
      <c r="F13" s="49" t="n">
        <f aca="false">TANH(Parameters!$B$24*SUMIFS(Impact_Input!$N:$N,Impact_Input!$B:$B,"A",Impact_Input!$C:$C,$A13,Impact_Input!$D:$D,F$6))</f>
        <v>0</v>
      </c>
      <c r="G13" s="49" t="n">
        <f aca="false">TANH(Parameters!$B$24*SUMIFS(Impact_Input!$N:$N,Impact_Input!$B:$B,"A",Impact_Input!$C:$C,$A13,Impact_Input!$D:$D,G$6))</f>
        <v>0</v>
      </c>
      <c r="H13" s="53" t="n">
        <f aca="false">TANH(Parameters!$B$24*SUMIFS(Impact_Input!$N:$N,Impact_Input!$B:$B,"A",Impact_Input!$C:$C,$A13,Impact_Input!$D:$D,H$6))</f>
        <v>0.0153165179573599</v>
      </c>
      <c r="I13" s="5"/>
    </row>
    <row r="14" customFormat="false" ht="13.5" hidden="false" customHeight="true" outlineLevel="0" collapsed="false">
      <c r="A14" s="5"/>
      <c r="B14" s="5"/>
      <c r="C14" s="5"/>
      <c r="D14" s="5"/>
      <c r="E14" s="5"/>
      <c r="F14" s="5"/>
      <c r="G14" s="5"/>
      <c r="H14" s="5"/>
      <c r="I14" s="5"/>
    </row>
    <row r="15" customFormat="false" ht="13.5" hidden="false" customHeight="true" outlineLevel="0" collapsed="false">
      <c r="A15" s="5"/>
      <c r="B15" s="5"/>
      <c r="C15" s="5"/>
      <c r="D15" s="5"/>
      <c r="E15" s="5"/>
      <c r="F15" s="5"/>
      <c r="G15" s="5"/>
      <c r="H15" s="5"/>
      <c r="I15" s="5"/>
    </row>
    <row r="16" customFormat="false" ht="14.25" hidden="false" customHeight="true" outlineLevel="0" collapsed="false">
      <c r="A16" s="37" t="s">
        <v>972</v>
      </c>
      <c r="B16" s="5"/>
      <c r="C16" s="5"/>
      <c r="D16" s="5"/>
      <c r="E16" s="5"/>
      <c r="F16" s="5"/>
      <c r="G16" s="5"/>
      <c r="H16" s="5"/>
      <c r="I16" s="5"/>
    </row>
    <row r="17" customFormat="false" ht="14.25" hidden="false" customHeight="true" outlineLevel="0" collapsed="false">
      <c r="A17" s="5"/>
      <c r="B17" s="37" t="s">
        <v>771</v>
      </c>
      <c r="C17" s="37" t="s">
        <v>761</v>
      </c>
      <c r="D17" s="37" t="s">
        <v>770</v>
      </c>
      <c r="E17" s="37" t="s">
        <v>772</v>
      </c>
      <c r="F17" s="37" t="s">
        <v>769</v>
      </c>
      <c r="G17" s="37" t="s">
        <v>895</v>
      </c>
      <c r="H17" s="37" t="s">
        <v>767</v>
      </c>
      <c r="I17" s="5"/>
    </row>
    <row r="18" customFormat="false" ht="14.25" hidden="false" customHeight="true" outlineLevel="0" collapsed="false">
      <c r="A18" s="37" t="s">
        <v>760</v>
      </c>
      <c r="B18" s="49" t="n">
        <f aca="false">TANH(Parameters!$B$24*SUMIFS(Impact_Input!$N:$N,Impact_Input!$B:$B,"B",Impact_Input!$C:$C,$A18,Impact_Input!$D:$D,B$17))</f>
        <v>0</v>
      </c>
      <c r="C18" s="49" t="n">
        <f aca="false">TANH(Parameters!$B$24*SUMIFS(Impact_Input!$N:$N,Impact_Input!$B:$B,"B",Impact_Input!$C:$C,$A18,Impact_Input!$D:$D,C$17))</f>
        <v>0</v>
      </c>
      <c r="D18" s="49" t="n">
        <f aca="false">TANH(Parameters!$B$24*SUMIFS(Impact_Input!$N:$N,Impact_Input!$B:$B,"B",Impact_Input!$C:$C,$A18,Impact_Input!$D:$D,D$17))</f>
        <v>0</v>
      </c>
      <c r="E18" s="49" t="n">
        <f aca="false">TANH(Parameters!$B$24*SUMIFS(Impact_Input!$N:$N,Impact_Input!$B:$B,"B",Impact_Input!$C:$C,$A18,Impact_Input!$D:$D,E$17))</f>
        <v>0</v>
      </c>
      <c r="F18" s="54" t="n">
        <f aca="false">TANH(Parameters!$B$24*SUMIFS(Impact_Input!$N:$N,Impact_Input!$B:$B,"B",Impact_Input!$C:$C,$A18,Impact_Input!$D:$D,F$17))</f>
        <v>-0.0463335676706336</v>
      </c>
      <c r="G18" s="49" t="n">
        <f aca="false">TANH(Parameters!$B$24*SUMIFS(Impact_Input!$N:$N,Impact_Input!$B:$B,"B",Impact_Input!$C:$C,$A18,Impact_Input!$D:$D,G$17))</f>
        <v>0</v>
      </c>
      <c r="H18" s="49" t="n">
        <f aca="false">TANH(Parameters!$B$24*SUMIFS(Impact_Input!$N:$N,Impact_Input!$B:$B,"B",Impact_Input!$C:$C,$A18,Impact_Input!$D:$D,H$17))</f>
        <v>0</v>
      </c>
      <c r="I18" s="5"/>
    </row>
    <row r="19" customFormat="false" ht="14.25" hidden="false" customHeight="true" outlineLevel="0" collapsed="false">
      <c r="A19" s="37" t="s">
        <v>762</v>
      </c>
      <c r="B19" s="54" t="n">
        <f aca="false">TANH(Parameters!$B$24*SUMIFS(Impact_Input!$N:$N,Impact_Input!$B:$B,"B",Impact_Input!$C:$C,$A19,Impact_Input!$D:$D,B$17))</f>
        <v>-0.0184759004375379</v>
      </c>
      <c r="C19" s="49" t="n">
        <f aca="false">TANH(Parameters!$B$24*SUMIFS(Impact_Input!$N:$N,Impact_Input!$B:$B,"B",Impact_Input!$C:$C,$A19,Impact_Input!$D:$D,C$17))</f>
        <v>0</v>
      </c>
      <c r="D19" s="49" t="n">
        <f aca="false">TANH(Parameters!$B$24*SUMIFS(Impact_Input!$N:$N,Impact_Input!$B:$B,"B",Impact_Input!$C:$C,$A19,Impact_Input!$D:$D,D$17))</f>
        <v>0</v>
      </c>
      <c r="E19" s="49" t="n">
        <f aca="false">TANH(Parameters!$B$24*SUMIFS(Impact_Input!$N:$N,Impact_Input!$B:$B,"B",Impact_Input!$C:$C,$A19,Impact_Input!$D:$D,E$17))</f>
        <v>0</v>
      </c>
      <c r="F19" s="49" t="n">
        <f aca="false">TANH(Parameters!$B$24*SUMIFS(Impact_Input!$N:$N,Impact_Input!$B:$B,"B",Impact_Input!$C:$C,$A19,Impact_Input!$D:$D,F$17))</f>
        <v>0</v>
      </c>
      <c r="G19" s="49" t="n">
        <f aca="false">TANH(Parameters!$B$24*SUMIFS(Impact_Input!$N:$N,Impact_Input!$B:$B,"B",Impact_Input!$C:$C,$A19,Impact_Input!$D:$D,G$17))</f>
        <v>0</v>
      </c>
      <c r="H19" s="49" t="n">
        <f aca="false">TANH(Parameters!$B$24*SUMIFS(Impact_Input!$N:$N,Impact_Input!$B:$B,"B",Impact_Input!$C:$C,$A19,Impact_Input!$D:$D,H$17))</f>
        <v>0</v>
      </c>
      <c r="I19" s="5"/>
    </row>
    <row r="20" customFormat="false" ht="14.25" hidden="false" customHeight="true" outlineLevel="0" collapsed="false">
      <c r="A20" s="37" t="s">
        <v>763</v>
      </c>
      <c r="B20" s="53" t="n">
        <f aca="false">TANH(Parameters!$B$24*SUMIFS(Impact_Input!$N:$N,Impact_Input!$B:$B,"B",Impact_Input!$C:$C,$A20,Impact_Input!$D:$D,B$17))</f>
        <v>0.0131978073405774</v>
      </c>
      <c r="C20" s="49" t="n">
        <f aca="false">TANH(Parameters!$B$24*SUMIFS(Impact_Input!$N:$N,Impact_Input!$B:$B,"B",Impact_Input!$C:$C,$A20,Impact_Input!$D:$D,C$17))</f>
        <v>0</v>
      </c>
      <c r="D20" s="53" t="n">
        <f aca="false">TANH(Parameters!$B$24*SUMIFS(Impact_Input!$N:$N,Impact_Input!$B:$B,"B",Impact_Input!$C:$C,$A20,Impact_Input!$D:$D,D$17))</f>
        <v>0.0615155722135092</v>
      </c>
      <c r="E20" s="49" t="n">
        <f aca="false">TANH(Parameters!$B$24*SUMIFS(Impact_Input!$N:$N,Impact_Input!$B:$B,"B",Impact_Input!$C:$C,$A20,Impact_Input!$D:$D,E$17))</f>
        <v>0</v>
      </c>
      <c r="F20" s="49" t="n">
        <f aca="false">TANH(Parameters!$B$24*SUMIFS(Impact_Input!$N:$N,Impact_Input!$B:$B,"B",Impact_Input!$C:$C,$A20,Impact_Input!$D:$D,F$17))</f>
        <v>0</v>
      </c>
      <c r="G20" s="49" t="n">
        <f aca="false">TANH(Parameters!$B$24*SUMIFS(Impact_Input!$N:$N,Impact_Input!$B:$B,"B",Impact_Input!$C:$C,$A20,Impact_Input!$D:$D,G$17))</f>
        <v>0</v>
      </c>
      <c r="H20" s="49" t="n">
        <f aca="false">TANH(Parameters!$B$24*SUMIFS(Impact_Input!$N:$N,Impact_Input!$B:$B,"B",Impact_Input!$C:$C,$A20,Impact_Input!$D:$D,H$17))</f>
        <v>0</v>
      </c>
      <c r="I20" s="5"/>
    </row>
    <row r="21" customFormat="false" ht="14.25" hidden="false" customHeight="true" outlineLevel="0" collapsed="false">
      <c r="A21" s="37" t="s">
        <v>764</v>
      </c>
      <c r="B21" s="53" t="n">
        <f aca="false">TANH(Parameters!$B$24*SUMIFS(Impact_Input!$N:$N,Impact_Input!$B:$B,"B",Impact_Input!$C:$C,$A21,Impact_Input!$D:$D,B$17))</f>
        <v>0.0102114556191722</v>
      </c>
      <c r="C21" s="49" t="n">
        <f aca="false">TANH(Parameters!$B$24*SUMIFS(Impact_Input!$N:$N,Impact_Input!$B:$B,"B",Impact_Input!$C:$C,$A21,Impact_Input!$D:$D,C$17))</f>
        <v>0</v>
      </c>
      <c r="D21" s="49" t="n">
        <f aca="false">TANH(Parameters!$B$24*SUMIFS(Impact_Input!$N:$N,Impact_Input!$B:$B,"B",Impact_Input!$C:$C,$A21,Impact_Input!$D:$D,D$17))</f>
        <v>0</v>
      </c>
      <c r="E21" s="49" t="n">
        <f aca="false">TANH(Parameters!$B$24*SUMIFS(Impact_Input!$N:$N,Impact_Input!$B:$B,"B",Impact_Input!$C:$C,$A21,Impact_Input!$D:$D,E$17))</f>
        <v>0</v>
      </c>
      <c r="F21" s="49" t="n">
        <f aca="false">TANH(Parameters!$B$24*SUMIFS(Impact_Input!$N:$N,Impact_Input!$B:$B,"B",Impact_Input!$C:$C,$A21,Impact_Input!$D:$D,F$17))</f>
        <v>0</v>
      </c>
      <c r="G21" s="49" t="n">
        <f aca="false">TANH(Parameters!$B$24*SUMIFS(Impact_Input!$N:$N,Impact_Input!$B:$B,"B",Impact_Input!$C:$C,$A21,Impact_Input!$D:$D,G$17))</f>
        <v>0</v>
      </c>
      <c r="H21" s="49" t="n">
        <f aca="false">TANH(Parameters!$B$24*SUMIFS(Impact_Input!$N:$N,Impact_Input!$B:$B,"B",Impact_Input!$C:$C,$A21,Impact_Input!$D:$D,H$17))</f>
        <v>0</v>
      </c>
      <c r="I21" s="5"/>
    </row>
    <row r="22" customFormat="false" ht="14.25" hidden="false" customHeight="true" outlineLevel="0" collapsed="false">
      <c r="A22" s="37" t="s">
        <v>765</v>
      </c>
      <c r="B22" s="49" t="n">
        <f aca="false">TANH(Parameters!$B$24*SUMIFS(Impact_Input!$N:$N,Impact_Input!$B:$B,"B",Impact_Input!$C:$C,$A22,Impact_Input!$D:$D,B$17))</f>
        <v>0</v>
      </c>
      <c r="C22" s="49" t="n">
        <f aca="false">TANH(Parameters!$B$24*SUMIFS(Impact_Input!$N:$N,Impact_Input!$B:$B,"B",Impact_Input!$C:$C,$A22,Impact_Input!$D:$D,C$17))</f>
        <v>0</v>
      </c>
      <c r="D22" s="49" t="n">
        <f aca="false">TANH(Parameters!$B$24*SUMIFS(Impact_Input!$N:$N,Impact_Input!$B:$B,"B",Impact_Input!$C:$C,$A22,Impact_Input!$D:$D,D$17))</f>
        <v>0</v>
      </c>
      <c r="E22" s="49" t="n">
        <f aca="false">TANH(Parameters!$B$24*SUMIFS(Impact_Input!$N:$N,Impact_Input!$B:$B,"B",Impact_Input!$C:$C,$A22,Impact_Input!$D:$D,E$17))</f>
        <v>0</v>
      </c>
      <c r="F22" s="49" t="n">
        <f aca="false">TANH(Parameters!$B$24*SUMIFS(Impact_Input!$N:$N,Impact_Input!$B:$B,"B",Impact_Input!$C:$C,$A22,Impact_Input!$D:$D,F$17))</f>
        <v>0</v>
      </c>
      <c r="G22" s="49" t="n">
        <f aca="false">TANH(Parameters!$B$24*SUMIFS(Impact_Input!$N:$N,Impact_Input!$B:$B,"B",Impact_Input!$C:$C,$A22,Impact_Input!$D:$D,G$17))</f>
        <v>0</v>
      </c>
      <c r="H22" s="49" t="n">
        <f aca="false">TANH(Parameters!$B$24*SUMIFS(Impact_Input!$N:$N,Impact_Input!$B:$B,"B",Impact_Input!$C:$C,$A22,Impact_Input!$D:$D,H$17))</f>
        <v>0</v>
      </c>
      <c r="I22" s="5"/>
    </row>
    <row r="23" customFormat="false" ht="14.25" hidden="false" customHeight="true" outlineLevel="0" collapsed="false">
      <c r="A23" s="37" t="s">
        <v>766</v>
      </c>
      <c r="B23" s="49" t="n">
        <f aca="false">TANH(Parameters!$B$24*SUMIFS(Impact_Input!$N:$N,Impact_Input!$B:$B,"B",Impact_Input!$C:$C,$A23,Impact_Input!$D:$D,B$17))</f>
        <v>0</v>
      </c>
      <c r="C23" s="49" t="n">
        <f aca="false">TANH(Parameters!$B$24*SUMIFS(Impact_Input!$N:$N,Impact_Input!$B:$B,"B",Impact_Input!$C:$C,$A23,Impact_Input!$D:$D,C$17))</f>
        <v>0</v>
      </c>
      <c r="D23" s="49" t="n">
        <f aca="false">TANH(Parameters!$B$24*SUMIFS(Impact_Input!$N:$N,Impact_Input!$B:$B,"B",Impact_Input!$C:$C,$A23,Impact_Input!$D:$D,D$17))</f>
        <v>0</v>
      </c>
      <c r="E23" s="49" t="n">
        <f aca="false">TANH(Parameters!$B$24*SUMIFS(Impact_Input!$N:$N,Impact_Input!$B:$B,"B",Impact_Input!$C:$C,$A23,Impact_Input!$D:$D,E$17))</f>
        <v>0</v>
      </c>
      <c r="F23" s="49" t="n">
        <f aca="false">TANH(Parameters!$B$24*SUMIFS(Impact_Input!$N:$N,Impact_Input!$B:$B,"B",Impact_Input!$C:$C,$A23,Impact_Input!$D:$D,F$17))</f>
        <v>0</v>
      </c>
      <c r="G23" s="49" t="n">
        <f aca="false">TANH(Parameters!$B$24*SUMIFS(Impact_Input!$N:$N,Impact_Input!$B:$B,"B",Impact_Input!$C:$C,$A23,Impact_Input!$D:$D,G$17))</f>
        <v>0</v>
      </c>
      <c r="H23" s="49" t="n">
        <f aca="false">TANH(Parameters!$B$24*SUMIFS(Impact_Input!$N:$N,Impact_Input!$B:$B,"B",Impact_Input!$C:$C,$A23,Impact_Input!$D:$D,H$17))</f>
        <v>0</v>
      </c>
      <c r="I23" s="5"/>
    </row>
    <row r="24" customFormat="false" ht="14.25" hidden="false" customHeight="true" outlineLevel="0" collapsed="false">
      <c r="A24" s="37" t="s">
        <v>768</v>
      </c>
      <c r="B24" s="49" t="n">
        <f aca="false">TANH(Parameters!$B$24*SUMIFS(Impact_Input!$N:$N,Impact_Input!$B:$B,"B",Impact_Input!$C:$C,$A24,Impact_Input!$D:$D,B$17))</f>
        <v>0</v>
      </c>
      <c r="C24" s="49" t="n">
        <f aca="false">TANH(Parameters!$B$24*SUMIFS(Impact_Input!$N:$N,Impact_Input!$B:$B,"B",Impact_Input!$C:$C,$A24,Impact_Input!$D:$D,C$17))</f>
        <v>0</v>
      </c>
      <c r="D24" s="49" t="n">
        <f aca="false">TANH(Parameters!$B$24*SUMIFS(Impact_Input!$N:$N,Impact_Input!$B:$B,"B",Impact_Input!$C:$C,$A24,Impact_Input!$D:$D,D$17))</f>
        <v>0</v>
      </c>
      <c r="E24" s="49" t="n">
        <f aca="false">TANH(Parameters!$B$24*SUMIFS(Impact_Input!$N:$N,Impact_Input!$B:$B,"B",Impact_Input!$C:$C,$A24,Impact_Input!$D:$D,E$17))</f>
        <v>0</v>
      </c>
      <c r="F24" s="49" t="n">
        <f aca="false">TANH(Parameters!$B$24*SUMIFS(Impact_Input!$N:$N,Impact_Input!$B:$B,"B",Impact_Input!$C:$C,$A24,Impact_Input!$D:$D,F$17))</f>
        <v>0</v>
      </c>
      <c r="G24" s="49" t="n">
        <f aca="false">TANH(Parameters!$B$24*SUMIFS(Impact_Input!$N:$N,Impact_Input!$B:$B,"B",Impact_Input!$C:$C,$A24,Impact_Input!$D:$D,G$17))</f>
        <v>0</v>
      </c>
      <c r="H24" s="54" t="n">
        <f aca="false">TANH(Parameters!$B$24*SUMIFS(Impact_Input!$N:$N,Impact_Input!$B:$B,"B",Impact_Input!$C:$C,$A24,Impact_Input!$D:$D,H$17))</f>
        <v>-0.0102114556191722</v>
      </c>
      <c r="I24" s="5"/>
    </row>
  </sheetData>
  <mergeCells count="1">
    <mergeCell ref="A1:I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8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2" min="1" style="2" width="36"/>
    <col collapsed="false" customWidth="true" hidden="false" outlineLevel="0" max="3" min="3" style="2" width="26"/>
    <col collapsed="false" customWidth="true" hidden="false" outlineLevel="0" max="4" min="4" style="2" width="36"/>
  </cols>
  <sheetData>
    <row r="1" customFormat="false" ht="24" hidden="false" customHeight="true" outlineLevel="0" collapsed="false">
      <c r="A1" s="3" t="s">
        <v>973</v>
      </c>
      <c r="B1" s="3" t="s">
        <v>974</v>
      </c>
      <c r="C1" s="3"/>
      <c r="D1" s="3"/>
    </row>
    <row r="2" customFormat="false" ht="15" hidden="false" customHeight="true" outlineLevel="0" collapsed="false">
      <c r="A2" s="5" t="s">
        <v>603</v>
      </c>
      <c r="B2" s="5" t="s">
        <v>604</v>
      </c>
      <c r="C2" s="5"/>
      <c r="D2" s="5"/>
    </row>
    <row r="3" customFormat="false" ht="15" hidden="false" customHeight="true" outlineLevel="0" collapsed="false">
      <c r="A3" s="5" t="s">
        <v>975</v>
      </c>
      <c r="B3" s="5" t="s">
        <v>612</v>
      </c>
      <c r="C3" s="5"/>
      <c r="D3" s="5"/>
    </row>
    <row r="4" customFormat="false" ht="15" hidden="false" customHeight="true" outlineLevel="0" collapsed="false">
      <c r="A4" s="5" t="s">
        <v>976</v>
      </c>
      <c r="B4" s="5" t="s">
        <v>977</v>
      </c>
      <c r="C4" s="5"/>
      <c r="D4" s="5"/>
    </row>
    <row r="5" customFormat="false" ht="24" hidden="false" customHeight="true" outlineLevel="0" collapsed="false">
      <c r="A5" s="5" t="s">
        <v>90</v>
      </c>
      <c r="B5" s="5" t="s">
        <v>978</v>
      </c>
      <c r="C5" s="5"/>
      <c r="D5" s="5"/>
    </row>
    <row r="6" customFormat="false" ht="15" hidden="false" customHeight="true" outlineLevel="0" collapsed="false">
      <c r="A6" s="5"/>
      <c r="B6" s="5"/>
      <c r="C6" s="5"/>
      <c r="D6" s="5"/>
    </row>
    <row r="7" customFormat="false" ht="15" hidden="false" customHeight="true" outlineLevel="0" collapsed="false">
      <c r="A7" s="4" t="s">
        <v>241</v>
      </c>
      <c r="B7" s="4" t="s">
        <v>242</v>
      </c>
      <c r="C7" s="4" t="s">
        <v>244</v>
      </c>
      <c r="D7" s="4" t="s">
        <v>979</v>
      </c>
    </row>
    <row r="8" customFormat="false" ht="24" hidden="false" customHeight="true" outlineLevel="0" collapsed="false">
      <c r="A8" s="5" t="s">
        <v>980</v>
      </c>
      <c r="B8" s="5" t="s">
        <v>981</v>
      </c>
      <c r="C8" s="5" t="s">
        <v>982</v>
      </c>
      <c r="D8" s="5" t="s">
        <v>983</v>
      </c>
    </row>
    <row r="9" customFormat="false" ht="24" hidden="false" customHeight="true" outlineLevel="0" collapsed="false">
      <c r="A9" s="5" t="s">
        <v>984</v>
      </c>
      <c r="B9" s="5" t="s">
        <v>985</v>
      </c>
      <c r="C9" s="5" t="s">
        <v>986</v>
      </c>
      <c r="D9" s="5" t="s">
        <v>987</v>
      </c>
    </row>
    <row r="10" customFormat="false" ht="24" hidden="false" customHeight="true" outlineLevel="0" collapsed="false">
      <c r="A10" s="5" t="s">
        <v>988</v>
      </c>
      <c r="B10" s="5" t="s">
        <v>989</v>
      </c>
      <c r="C10" s="5" t="s">
        <v>990</v>
      </c>
      <c r="D10" s="5" t="s">
        <v>991</v>
      </c>
    </row>
    <row r="11" customFormat="false" ht="24" hidden="false" customHeight="true" outlineLevel="0" collapsed="false">
      <c r="A11" s="5" t="s">
        <v>992</v>
      </c>
      <c r="B11" s="5" t="s">
        <v>993</v>
      </c>
      <c r="C11" s="5" t="s">
        <v>982</v>
      </c>
      <c r="D11" s="5" t="s">
        <v>994</v>
      </c>
    </row>
    <row r="12" customFormat="false" ht="36" hidden="false" customHeight="true" outlineLevel="0" collapsed="false">
      <c r="A12" s="5" t="s">
        <v>995</v>
      </c>
      <c r="B12" s="5" t="s">
        <v>996</v>
      </c>
      <c r="C12" s="5" t="s">
        <v>982</v>
      </c>
      <c r="D12" s="5" t="s">
        <v>997</v>
      </c>
    </row>
    <row r="13" customFormat="false" ht="24" hidden="false" customHeight="true" outlineLevel="0" collapsed="false">
      <c r="A13" s="5" t="s">
        <v>998</v>
      </c>
      <c r="B13" s="5" t="s">
        <v>999</v>
      </c>
      <c r="C13" s="5" t="s">
        <v>1000</v>
      </c>
      <c r="D13" s="5" t="s">
        <v>1001</v>
      </c>
    </row>
    <row r="14" customFormat="false" ht="24" hidden="false" customHeight="true" outlineLevel="0" collapsed="false">
      <c r="A14" s="5" t="s">
        <v>1002</v>
      </c>
      <c r="B14" s="5" t="s">
        <v>982</v>
      </c>
      <c r="C14" s="5" t="s">
        <v>1003</v>
      </c>
      <c r="D14" s="5" t="s">
        <v>1004</v>
      </c>
    </row>
    <row r="15" customFormat="false" ht="48" hidden="false" customHeight="true" outlineLevel="0" collapsed="false">
      <c r="A15" s="5" t="s">
        <v>1005</v>
      </c>
      <c r="B15" s="5" t="s">
        <v>1006</v>
      </c>
      <c r="C15" s="5" t="s">
        <v>1000</v>
      </c>
      <c r="D15" s="5" t="s">
        <v>1007</v>
      </c>
    </row>
    <row r="16" customFormat="false" ht="15" hidden="false" customHeight="true" outlineLevel="0" collapsed="false">
      <c r="A16" s="5" t="s">
        <v>1008</v>
      </c>
      <c r="B16" s="5" t="s">
        <v>1009</v>
      </c>
      <c r="C16" s="5" t="s">
        <v>1000</v>
      </c>
      <c r="D16" s="5" t="s">
        <v>1010</v>
      </c>
    </row>
    <row r="17" customFormat="false" ht="15" hidden="false" customHeight="true" outlineLevel="0" collapsed="false">
      <c r="A17" s="11" t="s">
        <v>1011</v>
      </c>
      <c r="B17" s="5" t="s">
        <v>1012</v>
      </c>
      <c r="C17" s="5" t="s">
        <v>1000</v>
      </c>
      <c r="D17" s="5" t="s">
        <v>1013</v>
      </c>
    </row>
    <row r="18" customFormat="false" ht="36" hidden="false" customHeight="true" outlineLevel="0" collapsed="false">
      <c r="A18" s="11" t="s">
        <v>1014</v>
      </c>
      <c r="B18" s="5" t="s">
        <v>1015</v>
      </c>
      <c r="C18" s="5" t="s">
        <v>1000</v>
      </c>
      <c r="D18" s="5" t="s">
        <v>1016</v>
      </c>
    </row>
    <row r="19" customFormat="false" ht="24" hidden="false" customHeight="true" outlineLevel="0" collapsed="false">
      <c r="A19" s="11" t="s">
        <v>1017</v>
      </c>
      <c r="B19" s="5" t="s">
        <v>1018</v>
      </c>
      <c r="C19" s="5" t="s">
        <v>1019</v>
      </c>
      <c r="D19" s="5" t="s">
        <v>1020</v>
      </c>
    </row>
    <row r="20" customFormat="false" ht="35.05" hidden="false" customHeight="false" outlineLevel="0" collapsed="false">
      <c r="A20" s="11" t="s">
        <v>992</v>
      </c>
      <c r="B20" s="5" t="s">
        <v>1021</v>
      </c>
      <c r="C20" s="5" t="s">
        <v>982</v>
      </c>
      <c r="D20" s="5" t="s">
        <v>1022</v>
      </c>
    </row>
    <row r="21" customFormat="false" ht="35.05" hidden="false" customHeight="false" outlineLevel="0" collapsed="false">
      <c r="A21" s="11" t="s">
        <v>995</v>
      </c>
      <c r="B21" s="5" t="s">
        <v>1023</v>
      </c>
      <c r="C21" s="5" t="s">
        <v>1000</v>
      </c>
      <c r="D21" s="5" t="s">
        <v>1024</v>
      </c>
    </row>
    <row r="22" customFormat="false" ht="46.25" hidden="false" customHeight="false" outlineLevel="0" collapsed="false">
      <c r="A22" s="11" t="s">
        <v>1025</v>
      </c>
      <c r="B22" s="5" t="s">
        <v>1026</v>
      </c>
      <c r="C22" s="5" t="s">
        <v>1000</v>
      </c>
      <c r="D22" s="5" t="s">
        <v>1027</v>
      </c>
    </row>
    <row r="23" customFormat="false" ht="46.25" hidden="false" customHeight="false" outlineLevel="0" collapsed="false">
      <c r="A23" s="11" t="s">
        <v>998</v>
      </c>
      <c r="B23" s="5" t="s">
        <v>1028</v>
      </c>
      <c r="C23" s="5" t="s">
        <v>1029</v>
      </c>
      <c r="D23" s="5" t="s">
        <v>1030</v>
      </c>
    </row>
    <row r="24" customFormat="false" ht="57.45" hidden="false" customHeight="false" outlineLevel="0" collapsed="false">
      <c r="A24" s="11" t="s">
        <v>1031</v>
      </c>
      <c r="B24" s="5" t="s">
        <v>1032</v>
      </c>
      <c r="C24" s="5" t="s">
        <v>1000</v>
      </c>
      <c r="D24" s="5" t="s">
        <v>1033</v>
      </c>
    </row>
    <row r="25" customFormat="false" ht="57.45" hidden="false" customHeight="false" outlineLevel="0" collapsed="false">
      <c r="A25" s="5" t="s">
        <v>1034</v>
      </c>
      <c r="B25" s="5" t="s">
        <v>1035</v>
      </c>
      <c r="C25" s="5" t="s">
        <v>1036</v>
      </c>
      <c r="D25" s="5" t="s">
        <v>1037</v>
      </c>
    </row>
    <row r="26" customFormat="false" ht="35.05" hidden="false" customHeight="false" outlineLevel="0" collapsed="false">
      <c r="A26" s="5" t="s">
        <v>1038</v>
      </c>
      <c r="B26" s="5" t="s">
        <v>1039</v>
      </c>
      <c r="C26" s="5" t="s">
        <v>1029</v>
      </c>
      <c r="D26" s="5"/>
    </row>
    <row r="27" customFormat="false" ht="91" hidden="false" customHeight="false" outlineLevel="0" collapsed="false">
      <c r="A27" s="5" t="s">
        <v>1040</v>
      </c>
      <c r="B27" s="5" t="s">
        <v>1041</v>
      </c>
      <c r="C27" s="5" t="s">
        <v>1000</v>
      </c>
      <c r="D27" s="5" t="s">
        <v>1042</v>
      </c>
    </row>
    <row r="28" customFormat="false" ht="15" hidden="false" customHeight="false" outlineLevel="0" collapsed="false">
      <c r="A28" s="5"/>
      <c r="B28" s="5"/>
      <c r="C28" s="5"/>
      <c r="D28" s="5"/>
    </row>
    <row r="29" customFormat="false" ht="15" hidden="false" customHeight="false" outlineLevel="0" collapsed="false">
      <c r="A29" s="5"/>
      <c r="B29" s="5"/>
      <c r="C29" s="5"/>
      <c r="D29" s="5"/>
    </row>
    <row r="30" customFormat="false" ht="15" hidden="false" customHeight="false" outlineLevel="0" collapsed="false">
      <c r="A30" s="5"/>
      <c r="B30" s="5"/>
      <c r="C30" s="5"/>
      <c r="D30" s="5"/>
    </row>
    <row r="31" customFormat="false" ht="15" hidden="false" customHeight="false" outlineLevel="0" collapsed="false">
      <c r="A31" s="5"/>
      <c r="B31" s="5"/>
      <c r="C31" s="5"/>
      <c r="D31" s="5"/>
    </row>
    <row r="32" customFormat="false" ht="15" hidden="false" customHeight="false" outlineLevel="0" collapsed="false">
      <c r="A32" s="5"/>
      <c r="B32" s="5"/>
      <c r="C32" s="5"/>
      <c r="D32" s="5"/>
    </row>
    <row r="33" customFormat="false" ht="15" hidden="false" customHeight="false" outlineLevel="0" collapsed="false">
      <c r="A33" s="5"/>
      <c r="B33" s="5"/>
      <c r="C33" s="5"/>
      <c r="D33" s="5"/>
    </row>
    <row r="34" customFormat="false" ht="15" hidden="false" customHeight="false" outlineLevel="0" collapsed="false">
      <c r="A34" s="5"/>
      <c r="B34" s="5"/>
      <c r="C34" s="5"/>
      <c r="D34" s="5"/>
    </row>
    <row r="35" customFormat="false" ht="15" hidden="false" customHeight="false" outlineLevel="0" collapsed="false">
      <c r="A35" s="5"/>
      <c r="B35" s="5"/>
      <c r="C35" s="5"/>
      <c r="D35" s="5"/>
    </row>
    <row r="36" customFormat="false" ht="15" hidden="false" customHeight="false" outlineLevel="0" collapsed="false">
      <c r="A36" s="5"/>
      <c r="B36" s="5"/>
      <c r="C36" s="5"/>
      <c r="D36" s="5"/>
    </row>
    <row r="37" customFormat="false" ht="15" hidden="false" customHeight="false" outlineLevel="0" collapsed="false">
      <c r="A37" s="5"/>
      <c r="B37" s="5"/>
      <c r="C37" s="5"/>
      <c r="D37" s="5"/>
    </row>
    <row r="38" customFormat="false" ht="15" hidden="false" customHeight="false" outlineLevel="0" collapsed="false">
      <c r="A38" s="5"/>
      <c r="B38" s="5"/>
      <c r="C38" s="5"/>
      <c r="D38" s="5"/>
    </row>
    <row r="39" customFormat="false" ht="15" hidden="false" customHeight="false" outlineLevel="0" collapsed="false">
      <c r="A39" s="5"/>
      <c r="B39" s="5"/>
      <c r="C39" s="5"/>
      <c r="D39" s="5"/>
    </row>
    <row r="40" customFormat="false" ht="15" hidden="false" customHeight="false" outlineLevel="0" collapsed="false">
      <c r="A40" s="5"/>
      <c r="B40" s="5"/>
      <c r="C40" s="5"/>
      <c r="D40" s="5"/>
    </row>
    <row r="41" customFormat="false" ht="15" hidden="false" customHeight="false" outlineLevel="0" collapsed="false">
      <c r="A41" s="5"/>
      <c r="B41" s="5"/>
      <c r="C41" s="5"/>
      <c r="D41" s="5"/>
    </row>
    <row r="42" customFormat="false" ht="15" hidden="false" customHeight="false" outlineLevel="0" collapsed="false">
      <c r="A42" s="5"/>
      <c r="B42" s="5"/>
      <c r="C42" s="5"/>
      <c r="D42" s="5"/>
    </row>
    <row r="43" customFormat="false" ht="15" hidden="false" customHeight="false" outlineLevel="0" collapsed="false">
      <c r="A43" s="5"/>
      <c r="B43" s="5"/>
      <c r="C43" s="5"/>
      <c r="D43" s="5"/>
    </row>
    <row r="44" customFormat="false" ht="15" hidden="false" customHeight="false" outlineLevel="0" collapsed="false">
      <c r="A44" s="5"/>
      <c r="B44" s="5"/>
      <c r="C44" s="5"/>
      <c r="D44" s="5"/>
    </row>
    <row r="45" customFormat="false" ht="15" hidden="false" customHeight="false" outlineLevel="0" collapsed="false">
      <c r="A45" s="5"/>
      <c r="B45" s="5"/>
      <c r="C45" s="5"/>
      <c r="D45" s="5"/>
    </row>
    <row r="46" customFormat="false" ht="15" hidden="false" customHeight="false" outlineLevel="0" collapsed="false">
      <c r="A46" s="5"/>
      <c r="B46" s="5"/>
      <c r="C46" s="5"/>
      <c r="D46" s="5"/>
    </row>
    <row r="47" customFormat="false" ht="15" hidden="false" customHeight="false" outlineLevel="0" collapsed="false">
      <c r="A47" s="5"/>
      <c r="B47" s="5"/>
      <c r="C47" s="5"/>
      <c r="D47" s="5"/>
    </row>
    <row r="48" customFormat="false" ht="15" hidden="false" customHeight="false" outlineLevel="0" collapsed="false">
      <c r="A48" s="5"/>
      <c r="B48" s="5"/>
      <c r="C48" s="5"/>
      <c r="D48" s="5"/>
    </row>
    <row r="49" customFormat="false" ht="15" hidden="false" customHeight="false" outlineLevel="0" collapsed="false">
      <c r="A49" s="5"/>
      <c r="B49" s="5"/>
      <c r="C49" s="5"/>
      <c r="D49" s="5"/>
    </row>
    <row r="50" customFormat="false" ht="15" hidden="false" customHeight="false" outlineLevel="0" collapsed="false">
      <c r="A50" s="5"/>
      <c r="B50" s="5"/>
      <c r="C50" s="5"/>
      <c r="D50" s="5"/>
    </row>
    <row r="51" customFormat="false" ht="15" hidden="false" customHeight="false" outlineLevel="0" collapsed="false">
      <c r="A51" s="5"/>
      <c r="B51" s="5"/>
      <c r="C51" s="5"/>
      <c r="D51" s="5"/>
    </row>
    <row r="52" customFormat="false" ht="15" hidden="false" customHeight="false" outlineLevel="0" collapsed="false">
      <c r="A52" s="5"/>
      <c r="B52" s="5"/>
      <c r="C52" s="5"/>
      <c r="D52" s="5"/>
    </row>
    <row r="53" customFormat="false" ht="15" hidden="false" customHeight="false" outlineLevel="0" collapsed="false">
      <c r="A53" s="5"/>
      <c r="B53" s="5"/>
      <c r="C53" s="5"/>
      <c r="D53" s="5"/>
    </row>
    <row r="54" customFormat="false" ht="15" hidden="false" customHeight="false" outlineLevel="0" collapsed="false">
      <c r="A54" s="5"/>
      <c r="B54" s="5"/>
      <c r="C54" s="5"/>
      <c r="D54" s="5"/>
    </row>
    <row r="55" customFormat="false" ht="15" hidden="false" customHeight="false" outlineLevel="0" collapsed="false">
      <c r="A55" s="5"/>
      <c r="B55" s="5"/>
      <c r="C55" s="5"/>
      <c r="D55" s="5"/>
    </row>
    <row r="56" customFormat="false" ht="15" hidden="false" customHeight="false" outlineLevel="0" collapsed="false">
      <c r="A56" s="5"/>
      <c r="B56" s="5"/>
      <c r="C56" s="5"/>
      <c r="D56" s="5"/>
    </row>
    <row r="57" customFormat="false" ht="15" hidden="false" customHeight="false" outlineLevel="0" collapsed="false">
      <c r="A57" s="5"/>
      <c r="B57" s="5"/>
      <c r="C57" s="5"/>
      <c r="D57" s="5"/>
    </row>
    <row r="58" customFormat="false" ht="15" hidden="false" customHeight="false" outlineLevel="0" collapsed="false">
      <c r="A58" s="5"/>
      <c r="B58" s="5"/>
      <c r="C58" s="5"/>
      <c r="D58" s="5"/>
    </row>
    <row r="59" customFormat="false" ht="15" hidden="false" customHeight="false" outlineLevel="0" collapsed="false">
      <c r="A59" s="5"/>
      <c r="B59" s="5"/>
      <c r="C59" s="5"/>
      <c r="D59" s="5"/>
    </row>
    <row r="60" customFormat="false" ht="15" hidden="false" customHeight="false" outlineLevel="0" collapsed="false">
      <c r="A60" s="5"/>
      <c r="B60" s="5"/>
      <c r="C60" s="5"/>
      <c r="D60" s="5"/>
    </row>
    <row r="61" customFormat="false" ht="15" hidden="false" customHeight="false" outlineLevel="0" collapsed="false">
      <c r="A61" s="5"/>
      <c r="B61" s="5"/>
      <c r="C61" s="5"/>
      <c r="D61" s="5"/>
    </row>
    <row r="62" customFormat="false" ht="15" hidden="false" customHeight="false" outlineLevel="0" collapsed="false">
      <c r="A62" s="5"/>
      <c r="B62" s="5"/>
      <c r="C62" s="5"/>
      <c r="D62" s="5"/>
    </row>
    <row r="63" customFormat="false" ht="15" hidden="false" customHeight="false" outlineLevel="0" collapsed="false">
      <c r="A63" s="5"/>
      <c r="B63" s="5"/>
      <c r="C63" s="5"/>
      <c r="D63" s="5"/>
    </row>
    <row r="64" customFormat="false" ht="15" hidden="false" customHeight="false" outlineLevel="0" collapsed="false">
      <c r="A64" s="5"/>
      <c r="B64" s="5"/>
      <c r="C64" s="5"/>
      <c r="D64" s="5"/>
    </row>
    <row r="65" customFormat="false" ht="15" hidden="false" customHeight="false" outlineLevel="0" collapsed="false">
      <c r="A65" s="5"/>
      <c r="B65" s="5"/>
      <c r="C65" s="5"/>
      <c r="D65" s="5"/>
    </row>
    <row r="66" customFormat="false" ht="15" hidden="false" customHeight="false" outlineLevel="0" collapsed="false">
      <c r="A66" s="5"/>
      <c r="B66" s="5"/>
      <c r="C66" s="5"/>
      <c r="D66" s="5"/>
    </row>
    <row r="67" customFormat="false" ht="15" hidden="false" customHeight="false" outlineLevel="0" collapsed="false">
      <c r="A67" s="5"/>
      <c r="B67" s="5"/>
      <c r="C67" s="5"/>
      <c r="D67" s="5"/>
    </row>
    <row r="68" customFormat="false" ht="15" hidden="false" customHeight="false" outlineLevel="0" collapsed="false">
      <c r="A68" s="5"/>
      <c r="B68" s="5"/>
      <c r="C68" s="5"/>
      <c r="D68" s="5"/>
    </row>
    <row r="69" customFormat="false" ht="15" hidden="false" customHeight="false" outlineLevel="0" collapsed="false">
      <c r="A69" s="5"/>
      <c r="B69" s="5"/>
      <c r="C69" s="5"/>
      <c r="D69" s="5"/>
    </row>
    <row r="70" customFormat="false" ht="15" hidden="false" customHeight="false" outlineLevel="0" collapsed="false">
      <c r="A70" s="5"/>
      <c r="B70" s="5"/>
      <c r="C70" s="5"/>
      <c r="D70" s="5"/>
    </row>
    <row r="71" customFormat="false" ht="15" hidden="false" customHeight="false" outlineLevel="0" collapsed="false">
      <c r="A71" s="5"/>
      <c r="B71" s="5"/>
      <c r="C71" s="5"/>
      <c r="D71" s="5"/>
    </row>
    <row r="72" customFormat="false" ht="15" hidden="false" customHeight="false" outlineLevel="0" collapsed="false">
      <c r="A72" s="5"/>
      <c r="B72" s="5"/>
      <c r="C72" s="5"/>
      <c r="D72" s="5"/>
    </row>
    <row r="73" customFormat="false" ht="15" hidden="false" customHeight="false" outlineLevel="0" collapsed="false">
      <c r="A73" s="5"/>
      <c r="B73" s="5"/>
      <c r="C73" s="5"/>
      <c r="D73" s="5"/>
    </row>
    <row r="74" customFormat="false" ht="15" hidden="false" customHeight="false" outlineLevel="0" collapsed="false">
      <c r="A74" s="5"/>
      <c r="B74" s="5"/>
      <c r="C74" s="5"/>
      <c r="D74" s="5"/>
    </row>
    <row r="75" customFormat="false" ht="15" hidden="false" customHeight="false" outlineLevel="0" collapsed="false">
      <c r="A75" s="5"/>
      <c r="B75" s="5"/>
      <c r="C75" s="5"/>
      <c r="D75" s="5"/>
    </row>
    <row r="76" customFormat="false" ht="15" hidden="false" customHeight="false" outlineLevel="0" collapsed="false">
      <c r="A76" s="5"/>
      <c r="B76" s="5"/>
      <c r="C76" s="5"/>
      <c r="D76" s="5"/>
    </row>
    <row r="77" customFormat="false" ht="15" hidden="false" customHeight="false" outlineLevel="0" collapsed="false">
      <c r="A77" s="5"/>
      <c r="B77" s="5"/>
      <c r="C77" s="5"/>
      <c r="D77" s="5"/>
    </row>
    <row r="78" customFormat="false" ht="15" hidden="false" customHeight="false" outlineLevel="0" collapsed="false">
      <c r="A78" s="5"/>
      <c r="B78" s="5"/>
      <c r="C78" s="5"/>
      <c r="D78" s="5"/>
    </row>
    <row r="79" customFormat="false" ht="15" hidden="false" customHeight="false" outlineLevel="0" collapsed="false">
      <c r="A79" s="5"/>
      <c r="B79" s="5"/>
      <c r="C79" s="5"/>
      <c r="D79" s="5"/>
    </row>
    <row r="80" customFormat="false" ht="15" hidden="false" customHeight="false" outlineLevel="0" collapsed="false">
      <c r="A80" s="5"/>
      <c r="B80" s="5"/>
      <c r="C80" s="5"/>
      <c r="D80" s="5"/>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T8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8" min="1" style="2" width="36"/>
    <col collapsed="false" customWidth="true" hidden="false" outlineLevel="0" max="9" min="9" style="2" width="18"/>
    <col collapsed="false" customWidth="true" hidden="false" outlineLevel="0" max="10" min="10" style="2" width="15"/>
    <col collapsed="false" customWidth="true" hidden="false" outlineLevel="0" max="11" min="11" style="2" width="36"/>
    <col collapsed="false" customWidth="true" hidden="false" outlineLevel="0" max="12" min="12" style="2" width="34"/>
    <col collapsed="false" customWidth="true" hidden="false" outlineLevel="0" max="13" min="13" style="2" width="20.88"/>
    <col collapsed="false" customWidth="true" hidden="false" outlineLevel="0" max="14" min="14" style="2" width="30.88"/>
    <col collapsed="false" customWidth="true" hidden="false" outlineLevel="0" max="15" min="15" style="2" width="29.13"/>
    <col collapsed="false" customWidth="true" hidden="false" outlineLevel="0" max="16" min="16" style="2" width="72.13"/>
    <col collapsed="false" customWidth="true" hidden="false" outlineLevel="0" max="17" min="17" style="2" width="48.63"/>
    <col collapsed="false" customWidth="true" hidden="false" outlineLevel="0" max="18" min="18" style="2" width="88.38"/>
    <col collapsed="false" customWidth="true" hidden="false" outlineLevel="0" max="19" min="19" style="2" width="40.63"/>
    <col collapsed="false" customWidth="true" hidden="false" outlineLevel="0" max="20" min="20" style="2" width="33.88"/>
  </cols>
  <sheetData>
    <row r="1" customFormat="false" ht="16.5" hidden="false" customHeight="true" outlineLevel="0" collapsed="false">
      <c r="A1" s="3" t="s">
        <v>1043</v>
      </c>
      <c r="B1" s="3"/>
      <c r="C1" s="3"/>
      <c r="D1" s="3"/>
      <c r="E1" s="3"/>
      <c r="F1" s="3"/>
      <c r="G1" s="3"/>
      <c r="H1" s="3"/>
      <c r="I1" s="3"/>
      <c r="J1" s="3"/>
      <c r="K1" s="3"/>
      <c r="L1" s="3"/>
      <c r="M1" s="3"/>
      <c r="N1" s="3"/>
      <c r="O1" s="3"/>
      <c r="P1" s="3"/>
      <c r="Q1" s="3"/>
      <c r="R1" s="3"/>
      <c r="S1" s="3"/>
      <c r="T1" s="3"/>
    </row>
    <row r="2" customFormat="false" ht="15" hidden="false" customHeight="true" outlineLevel="0" collapsed="false">
      <c r="A2" s="55" t="s">
        <v>1044</v>
      </c>
      <c r="B2" s="55"/>
      <c r="C2" s="55"/>
      <c r="D2" s="55"/>
      <c r="E2" s="55"/>
      <c r="F2" s="55"/>
      <c r="G2" s="55"/>
      <c r="H2" s="55"/>
      <c r="I2" s="55"/>
      <c r="J2" s="55"/>
      <c r="K2" s="55"/>
      <c r="L2" s="55"/>
      <c r="M2" s="55"/>
      <c r="N2" s="55"/>
      <c r="O2" s="55"/>
      <c r="P2" s="5"/>
      <c r="Q2" s="5"/>
      <c r="R2" s="5"/>
      <c r="S2" s="5"/>
      <c r="T2" s="5"/>
    </row>
    <row r="3" customFormat="false" ht="15" hidden="false" customHeight="true" outlineLevel="0" collapsed="false">
      <c r="A3" s="55" t="s">
        <v>1045</v>
      </c>
      <c r="B3" s="55"/>
      <c r="C3" s="55"/>
      <c r="D3" s="55"/>
      <c r="E3" s="55"/>
      <c r="F3" s="55"/>
      <c r="G3" s="55"/>
      <c r="H3" s="55"/>
      <c r="I3" s="55"/>
      <c r="J3" s="55"/>
      <c r="K3" s="55"/>
      <c r="L3" s="55"/>
      <c r="M3" s="55"/>
      <c r="N3" s="55"/>
      <c r="O3" s="55"/>
      <c r="P3" s="5"/>
      <c r="Q3" s="5"/>
      <c r="R3" s="5"/>
      <c r="S3" s="5"/>
      <c r="T3" s="5"/>
    </row>
    <row r="4" customFormat="false" ht="15" hidden="false" customHeight="true" outlineLevel="0" collapsed="false">
      <c r="A4" s="55" t="s">
        <v>1046</v>
      </c>
      <c r="B4" s="55"/>
      <c r="C4" s="55"/>
      <c r="D4" s="55"/>
      <c r="E4" s="55"/>
      <c r="F4" s="55"/>
      <c r="G4" s="55"/>
      <c r="H4" s="55"/>
      <c r="I4" s="55"/>
      <c r="J4" s="55"/>
      <c r="K4" s="55"/>
      <c r="L4" s="55"/>
      <c r="M4" s="55"/>
      <c r="N4" s="55"/>
      <c r="O4" s="55"/>
      <c r="P4" s="5"/>
      <c r="Q4" s="5"/>
      <c r="R4" s="5"/>
      <c r="S4" s="5"/>
      <c r="T4" s="5"/>
    </row>
    <row r="5" customFormat="false" ht="15" hidden="false" customHeight="true" outlineLevel="0" collapsed="false">
      <c r="A5" s="5" t="s">
        <v>1047</v>
      </c>
      <c r="B5" s="5"/>
      <c r="C5" s="5"/>
      <c r="D5" s="5"/>
      <c r="E5" s="5"/>
      <c r="F5" s="5"/>
      <c r="G5" s="5"/>
      <c r="H5" s="5"/>
      <c r="I5" s="5"/>
      <c r="J5" s="5"/>
      <c r="K5" s="5"/>
      <c r="L5" s="5"/>
      <c r="M5" s="5"/>
      <c r="N5" s="5"/>
      <c r="O5" s="5"/>
      <c r="P5" s="5"/>
      <c r="Q5" s="5"/>
      <c r="R5" s="5"/>
      <c r="S5" s="5"/>
      <c r="T5" s="5"/>
    </row>
    <row r="6" customFormat="false" ht="15" hidden="false" customHeight="true" outlineLevel="0" collapsed="false">
      <c r="A6" s="5"/>
      <c r="B6" s="5"/>
      <c r="C6" s="5"/>
      <c r="D6" s="5"/>
      <c r="E6" s="5"/>
      <c r="F6" s="5"/>
      <c r="G6" s="5"/>
      <c r="H6" s="5"/>
      <c r="I6" s="5"/>
      <c r="J6" s="5"/>
      <c r="K6" s="5"/>
      <c r="L6" s="5"/>
      <c r="M6" s="5"/>
      <c r="N6" s="5"/>
      <c r="O6" s="5"/>
      <c r="P6" s="5"/>
      <c r="Q6" s="5"/>
      <c r="R6" s="5"/>
      <c r="S6" s="5"/>
      <c r="T6" s="5"/>
    </row>
    <row r="7" customFormat="false" ht="15" hidden="false" customHeight="true" outlineLevel="0" collapsed="false">
      <c r="A7" s="56" t="s">
        <v>1048</v>
      </c>
      <c r="B7" s="56" t="s">
        <v>1049</v>
      </c>
      <c r="C7" s="56" t="s">
        <v>1050</v>
      </c>
      <c r="D7" s="56" t="s">
        <v>1051</v>
      </c>
      <c r="E7" s="56" t="s">
        <v>1052</v>
      </c>
      <c r="F7" s="56" t="s">
        <v>1053</v>
      </c>
      <c r="G7" s="56" t="s">
        <v>1054</v>
      </c>
      <c r="H7" s="56" t="s">
        <v>1055</v>
      </c>
      <c r="I7" s="56" t="s">
        <v>1056</v>
      </c>
      <c r="J7" s="56" t="s">
        <v>1057</v>
      </c>
      <c r="K7" s="56" t="s">
        <v>1058</v>
      </c>
      <c r="L7" s="56" t="s">
        <v>1059</v>
      </c>
      <c r="M7" s="56" t="s">
        <v>1060</v>
      </c>
      <c r="N7" s="56" t="s">
        <v>1061</v>
      </c>
      <c r="O7" s="56" t="s">
        <v>1062</v>
      </c>
      <c r="P7" s="56" t="s">
        <v>1063</v>
      </c>
      <c r="Q7" s="56" t="s">
        <v>1064</v>
      </c>
      <c r="R7" s="56" t="s">
        <v>1065</v>
      </c>
      <c r="S7" s="56" t="s">
        <v>1066</v>
      </c>
      <c r="T7" s="56" t="s">
        <v>1067</v>
      </c>
    </row>
    <row r="8" customFormat="false" ht="15" hidden="false" customHeight="true" outlineLevel="0" collapsed="false">
      <c r="A8" s="5" t="s">
        <v>1068</v>
      </c>
      <c r="B8" s="5" t="s">
        <v>1069</v>
      </c>
      <c r="C8" s="5" t="s">
        <v>1070</v>
      </c>
      <c r="D8" s="5" t="s">
        <v>1071</v>
      </c>
      <c r="E8" s="5" t="s">
        <v>1072</v>
      </c>
      <c r="F8" s="5" t="s">
        <v>1073</v>
      </c>
      <c r="G8" s="5" t="s">
        <v>1074</v>
      </c>
      <c r="H8" s="5" t="s">
        <v>1075</v>
      </c>
      <c r="I8" s="5" t="s">
        <v>982</v>
      </c>
      <c r="J8" s="5" t="s">
        <v>1076</v>
      </c>
      <c r="K8" s="5" t="s">
        <v>1077</v>
      </c>
      <c r="L8" s="5" t="s">
        <v>1078</v>
      </c>
      <c r="M8" s="5" t="s">
        <v>1079</v>
      </c>
      <c r="N8" s="5" t="s">
        <v>1080</v>
      </c>
      <c r="O8" s="5" t="s">
        <v>1081</v>
      </c>
      <c r="P8" s="5" t="s">
        <v>1082</v>
      </c>
      <c r="Q8" s="5" t="s">
        <v>1083</v>
      </c>
      <c r="R8" s="5" t="s">
        <v>1084</v>
      </c>
      <c r="S8" s="5" t="s">
        <v>1085</v>
      </c>
      <c r="T8" s="5" t="s">
        <v>1086</v>
      </c>
    </row>
    <row r="9" customFormat="false" ht="15" hidden="false" customHeight="true" outlineLevel="0" collapsed="false">
      <c r="A9" s="5" t="s">
        <v>1087</v>
      </c>
      <c r="B9" s="5" t="s">
        <v>1088</v>
      </c>
      <c r="C9" s="5" t="s">
        <v>1089</v>
      </c>
      <c r="D9" s="5" t="s">
        <v>1090</v>
      </c>
      <c r="E9" s="5" t="s">
        <v>1091</v>
      </c>
      <c r="F9" s="5" t="s">
        <v>1092</v>
      </c>
      <c r="G9" s="5" t="s">
        <v>1093</v>
      </c>
      <c r="H9" s="5" t="s">
        <v>1094</v>
      </c>
      <c r="I9" s="5" t="s">
        <v>982</v>
      </c>
      <c r="J9" s="5" t="s">
        <v>1076</v>
      </c>
      <c r="K9" s="5" t="s">
        <v>1095</v>
      </c>
      <c r="L9" s="5" t="s">
        <v>1078</v>
      </c>
      <c r="M9" s="5" t="s">
        <v>1079</v>
      </c>
      <c r="N9" s="5" t="s">
        <v>1096</v>
      </c>
      <c r="O9" s="5" t="s">
        <v>1097</v>
      </c>
      <c r="P9" s="5" t="s">
        <v>1098</v>
      </c>
      <c r="Q9" s="5" t="s">
        <v>1099</v>
      </c>
      <c r="R9" s="5" t="s">
        <v>1100</v>
      </c>
      <c r="S9" s="5" t="s">
        <v>1101</v>
      </c>
      <c r="T9" s="5" t="s">
        <v>1086</v>
      </c>
    </row>
    <row r="10" customFormat="false" ht="15" hidden="false" customHeight="true" outlineLevel="0" collapsed="false">
      <c r="A10" s="5" t="s">
        <v>1102</v>
      </c>
      <c r="B10" s="5" t="s">
        <v>1103</v>
      </c>
      <c r="C10" s="5" t="s">
        <v>1104</v>
      </c>
      <c r="D10" s="5"/>
      <c r="E10" s="5"/>
      <c r="F10" s="5"/>
      <c r="G10" s="5"/>
      <c r="H10" s="5"/>
      <c r="I10" s="5" t="s">
        <v>982</v>
      </c>
      <c r="J10" s="5" t="s">
        <v>1076</v>
      </c>
      <c r="K10" s="5"/>
      <c r="L10" s="5" t="s">
        <v>1078</v>
      </c>
      <c r="M10" s="5"/>
      <c r="N10" s="5"/>
      <c r="O10" s="5" t="str">
        <f aca="false">IF(OR(I10="INSUFFICIENT_GROUNDING",I10="LEGACY_UNREVIEWED",J10="CRITICAL"),"REFUSE / ESCALATE",IF(OR(I10="CONTESTED",J10="HIGH"),"NARROW / ESCALATE",IF(OR(I10="ASSUMPTION_BOUND",J10="MEDIUM"),"SENSITIVITY_ONLY / MONITOR","ALLOW IF OTHER GATES PASS")))</f>
        <v>SENSITIVITY_ONLY / MONITOR</v>
      </c>
      <c r="P10" s="5" t="s">
        <v>1105</v>
      </c>
      <c r="Q10" s="5" t="s">
        <v>1106</v>
      </c>
      <c r="R10" s="5" t="s">
        <v>1107</v>
      </c>
      <c r="S10" s="5" t="s">
        <v>1108</v>
      </c>
      <c r="T10" s="5" t="s">
        <v>1109</v>
      </c>
    </row>
    <row r="11" customFormat="false" ht="15" hidden="false" customHeight="true" outlineLevel="0" collapsed="false">
      <c r="A11" s="5" t="s">
        <v>1110</v>
      </c>
      <c r="B11" s="5" t="s">
        <v>1111</v>
      </c>
      <c r="C11" s="5" t="s">
        <v>1112</v>
      </c>
      <c r="D11" s="5" t="s">
        <v>1113</v>
      </c>
      <c r="E11" s="5" t="s">
        <v>1114</v>
      </c>
      <c r="F11" s="5" t="s">
        <v>1115</v>
      </c>
      <c r="G11" s="5" t="s">
        <v>1116</v>
      </c>
      <c r="H11" s="5" t="s">
        <v>1117</v>
      </c>
      <c r="I11" s="5" t="s">
        <v>1118</v>
      </c>
      <c r="J11" s="5" t="s">
        <v>1119</v>
      </c>
      <c r="K11" s="5" t="s">
        <v>1120</v>
      </c>
      <c r="L11" s="5" t="s">
        <v>1078</v>
      </c>
      <c r="M11" s="5" t="s">
        <v>1121</v>
      </c>
      <c r="N11" s="5" t="s">
        <v>1122</v>
      </c>
      <c r="O11" s="5" t="s">
        <v>1123</v>
      </c>
      <c r="P11" s="5" t="s">
        <v>1124</v>
      </c>
      <c r="Q11" s="5" t="s">
        <v>1125</v>
      </c>
      <c r="R11" s="5" t="s">
        <v>1126</v>
      </c>
      <c r="S11" s="5" t="s">
        <v>1127</v>
      </c>
      <c r="T11" s="5" t="s">
        <v>1128</v>
      </c>
    </row>
    <row r="12" customFormat="false" ht="15" hidden="false" customHeight="true" outlineLevel="0" collapsed="false">
      <c r="A12" s="5" t="s">
        <v>1129</v>
      </c>
      <c r="B12" s="5" t="s">
        <v>1130</v>
      </c>
      <c r="C12" s="5" t="s">
        <v>1131</v>
      </c>
      <c r="D12" s="5"/>
      <c r="E12" s="5"/>
      <c r="F12" s="5"/>
      <c r="G12" s="5"/>
      <c r="H12" s="5"/>
      <c r="I12" s="5" t="s">
        <v>982</v>
      </c>
      <c r="J12" s="5" t="s">
        <v>1076</v>
      </c>
      <c r="K12" s="5"/>
      <c r="L12" s="5" t="s">
        <v>1078</v>
      </c>
      <c r="M12" s="5"/>
      <c r="N12" s="5"/>
      <c r="O12" s="5" t="str">
        <f aca="false">IF(OR(I12="INSUFFICIENT_GROUNDING",I12="LEGACY_UNREVIEWED",J12="CRITICAL"),"REFUSE / ESCALATE",IF(OR(I12="CONTESTED",J12="HIGH"),"NARROW / ESCALATE",IF(OR(I12="ASSUMPTION_BOUND",J12="MEDIUM"),"SENSITIVITY_ONLY / MONITOR","ALLOW IF OTHER GATES PASS")))</f>
        <v>SENSITIVITY_ONLY / MONITOR</v>
      </c>
      <c r="P12" s="5" t="s">
        <v>1132</v>
      </c>
      <c r="Q12" s="5" t="s">
        <v>1133</v>
      </c>
      <c r="R12" s="5" t="s">
        <v>1134</v>
      </c>
      <c r="S12" s="5" t="s">
        <v>1135</v>
      </c>
      <c r="T12" s="5" t="s">
        <v>1136</v>
      </c>
    </row>
    <row r="13" customFormat="false" ht="15" hidden="false" customHeight="true" outlineLevel="0" collapsed="false">
      <c r="A13" s="5" t="s">
        <v>1137</v>
      </c>
      <c r="B13" s="5" t="s">
        <v>1138</v>
      </c>
      <c r="C13" s="5" t="s">
        <v>1139</v>
      </c>
      <c r="D13" s="5" t="s">
        <v>1140</v>
      </c>
      <c r="E13" s="5" t="s">
        <v>1141</v>
      </c>
      <c r="F13" s="5" t="s">
        <v>1142</v>
      </c>
      <c r="G13" s="5" t="s">
        <v>1143</v>
      </c>
      <c r="H13" s="5" t="s">
        <v>1144</v>
      </c>
      <c r="I13" s="5" t="s">
        <v>982</v>
      </c>
      <c r="J13" s="5" t="s">
        <v>1076</v>
      </c>
      <c r="K13" s="5" t="s">
        <v>1145</v>
      </c>
      <c r="L13" s="5" t="s">
        <v>1078</v>
      </c>
      <c r="M13" s="5" t="s">
        <v>1121</v>
      </c>
      <c r="N13" s="5" t="s">
        <v>1146</v>
      </c>
      <c r="O13" s="5" t="s">
        <v>1147</v>
      </c>
      <c r="P13" s="5" t="s">
        <v>1148</v>
      </c>
      <c r="Q13" s="5" t="s">
        <v>1149</v>
      </c>
      <c r="R13" s="5" t="s">
        <v>1150</v>
      </c>
      <c r="S13" s="5" t="s">
        <v>1151</v>
      </c>
      <c r="T13" s="5" t="s">
        <v>1152</v>
      </c>
    </row>
    <row r="14" customFormat="false" ht="15" hidden="false" customHeight="true" outlineLevel="0" collapsed="false">
      <c r="A14" s="5" t="s">
        <v>1153</v>
      </c>
      <c r="B14" s="5" t="s">
        <v>1154</v>
      </c>
      <c r="C14" s="5" t="s">
        <v>1155</v>
      </c>
      <c r="D14" s="5"/>
      <c r="E14" s="5"/>
      <c r="F14" s="5"/>
      <c r="G14" s="5"/>
      <c r="H14" s="5"/>
      <c r="I14" s="5" t="s">
        <v>982</v>
      </c>
      <c r="J14" s="5" t="s">
        <v>1076</v>
      </c>
      <c r="K14" s="5"/>
      <c r="L14" s="5" t="s">
        <v>1078</v>
      </c>
      <c r="M14" s="5"/>
      <c r="N14" s="5"/>
      <c r="O14" s="5" t="str">
        <f aca="false">IF(OR(I14="INSUFFICIENT_GROUNDING",I14="LEGACY_UNREVIEWED",J14="CRITICAL"),"REFUSE / ESCALATE",IF(OR(I14="CONTESTED",J14="HIGH"),"NARROW / ESCALATE",IF(OR(I14="ASSUMPTION_BOUND",J14="MEDIUM"),"SENSITIVITY_ONLY / MONITOR","ALLOW IF OTHER GATES PASS")))</f>
        <v>SENSITIVITY_ONLY / MONITOR</v>
      </c>
      <c r="P14" s="5" t="s">
        <v>1156</v>
      </c>
      <c r="Q14" s="5" t="s">
        <v>1157</v>
      </c>
      <c r="R14" s="5" t="s">
        <v>1158</v>
      </c>
      <c r="S14" s="5" t="s">
        <v>1159</v>
      </c>
      <c r="T14" s="5" t="s">
        <v>1160</v>
      </c>
    </row>
    <row r="15" customFormat="false" ht="15" hidden="false" customHeight="true" outlineLevel="0" collapsed="false">
      <c r="A15" s="5" t="s">
        <v>1161</v>
      </c>
      <c r="B15" s="5" t="s">
        <v>1162</v>
      </c>
      <c r="C15" s="5" t="s">
        <v>1163</v>
      </c>
      <c r="D15" s="5"/>
      <c r="E15" s="5"/>
      <c r="F15" s="5"/>
      <c r="G15" s="5"/>
      <c r="H15" s="5"/>
      <c r="I15" s="5" t="s">
        <v>1118</v>
      </c>
      <c r="J15" s="5" t="s">
        <v>1119</v>
      </c>
      <c r="K15" s="5"/>
      <c r="L15" s="5" t="s">
        <v>1078</v>
      </c>
      <c r="M15" s="5"/>
      <c r="N15" s="5"/>
      <c r="O15" s="5" t="str">
        <f aca="false">IF(OR(I15="INSUFFICIENT_GROUNDING",I15="LEGACY_UNREVIEWED",J15="CRITICAL"),"REFUSE / ESCALATE",IF(OR(I15="CONTESTED",J15="HIGH"),"NARROW / ESCALATE",IF(OR(I15="ASSUMPTION_BOUND",J15="MEDIUM"),"SENSITIVITY_ONLY / MONITOR","ALLOW IF OTHER GATES PASS")))</f>
        <v>NARROW / ESCALATE</v>
      </c>
      <c r="P15" s="5" t="s">
        <v>1164</v>
      </c>
      <c r="Q15" s="5" t="s">
        <v>1165</v>
      </c>
      <c r="R15" s="5" t="s">
        <v>1166</v>
      </c>
      <c r="S15" s="5" t="s">
        <v>1167</v>
      </c>
      <c r="T15" s="5" t="s">
        <v>1168</v>
      </c>
    </row>
    <row r="16" customFormat="false" ht="15" hidden="false" customHeight="true" outlineLevel="0" collapsed="false">
      <c r="A16" s="5" t="s">
        <v>1169</v>
      </c>
      <c r="B16" s="5" t="s">
        <v>1170</v>
      </c>
      <c r="C16" s="5" t="s">
        <v>1171</v>
      </c>
      <c r="D16" s="5"/>
      <c r="E16" s="5"/>
      <c r="F16" s="5"/>
      <c r="G16" s="5"/>
      <c r="H16" s="5"/>
      <c r="I16" s="5" t="s">
        <v>982</v>
      </c>
      <c r="J16" s="5" t="s">
        <v>1076</v>
      </c>
      <c r="K16" s="5"/>
      <c r="L16" s="5" t="s">
        <v>1078</v>
      </c>
      <c r="M16" s="5"/>
      <c r="N16" s="5"/>
      <c r="O16" s="5" t="str">
        <f aca="false">IF(OR(I16="INSUFFICIENT_GROUNDING",I16="LEGACY_UNREVIEWED",J16="CRITICAL"),"REFUSE / ESCALATE",IF(OR(I16="CONTESTED",J16="HIGH"),"NARROW / ESCALATE",IF(OR(I16="ASSUMPTION_BOUND",J16="MEDIUM"),"SENSITIVITY_ONLY / MONITOR","ALLOW IF OTHER GATES PASS")))</f>
        <v>SENSITIVITY_ONLY / MONITOR</v>
      </c>
      <c r="P16" s="5" t="s">
        <v>1172</v>
      </c>
      <c r="Q16" s="5" t="s">
        <v>1173</v>
      </c>
      <c r="R16" s="5" t="s">
        <v>1174</v>
      </c>
      <c r="S16" s="5" t="s">
        <v>1175</v>
      </c>
      <c r="T16" s="5" t="s">
        <v>1086</v>
      </c>
    </row>
    <row r="17" customFormat="false" ht="15" hidden="false" customHeight="true" outlineLevel="0" collapsed="false">
      <c r="A17" s="5" t="s">
        <v>1176</v>
      </c>
      <c r="B17" s="5" t="s">
        <v>1177</v>
      </c>
      <c r="C17" s="5" t="s">
        <v>1178</v>
      </c>
      <c r="D17" s="5"/>
      <c r="E17" s="5"/>
      <c r="F17" s="5"/>
      <c r="G17" s="5"/>
      <c r="H17" s="5"/>
      <c r="I17" s="5" t="s">
        <v>982</v>
      </c>
      <c r="J17" s="5" t="s">
        <v>1076</v>
      </c>
      <c r="K17" s="5"/>
      <c r="L17" s="5" t="s">
        <v>1078</v>
      </c>
      <c r="M17" s="5"/>
      <c r="N17" s="5"/>
      <c r="O17" s="5" t="str">
        <f aca="false">IF(OR(I17="INSUFFICIENT_GROUNDING",I17="LEGACY_UNREVIEWED",J17="CRITICAL"),"REFUSE / ESCALATE",IF(OR(I17="CONTESTED",J17="HIGH"),"NARROW / ESCALATE",IF(OR(I17="ASSUMPTION_BOUND",J17="MEDIUM"),"SENSITIVITY_ONLY / MONITOR","ALLOW IF OTHER GATES PASS")))</f>
        <v>SENSITIVITY_ONLY / MONITOR</v>
      </c>
      <c r="P17" s="5" t="s">
        <v>1179</v>
      </c>
      <c r="Q17" s="5" t="s">
        <v>1180</v>
      </c>
      <c r="R17" s="5" t="s">
        <v>1181</v>
      </c>
      <c r="S17" s="5" t="s">
        <v>1182</v>
      </c>
      <c r="T17" s="5" t="s">
        <v>1183</v>
      </c>
    </row>
    <row r="18" customFormat="false" ht="15" hidden="false" customHeight="true" outlineLevel="0" collapsed="false">
      <c r="A18" s="5"/>
      <c r="B18" s="5"/>
      <c r="C18" s="5"/>
      <c r="D18" s="5"/>
      <c r="E18" s="5"/>
      <c r="F18" s="5"/>
      <c r="G18" s="5"/>
      <c r="H18" s="5"/>
      <c r="I18" s="5"/>
      <c r="J18" s="5"/>
      <c r="K18" s="5"/>
      <c r="L18" s="5"/>
      <c r="M18" s="5"/>
      <c r="N18" s="5"/>
      <c r="O18" s="5" t="str">
        <f aca="false">IF(OR(I18="INSUFFICIENT_GROUNDING",I18="LEGACY_UNREVIEWED",J18="CRITICAL"),"REFUSE / ESCALATE",IF(OR(I18="CONTESTED",J18="HIGH"),"NARROW / ESCALATE",IF(OR(I18="ASSUMPTION_BOUND",J18="MEDIUM"),"SENSITIVITY_ONLY / MONITOR","ALLOW IF OTHER GATES PASS")))</f>
        <v>ALLOW IF OTHER GATES PASS</v>
      </c>
      <c r="P18" s="5"/>
      <c r="Q18" s="5"/>
      <c r="R18" s="5"/>
      <c r="S18" s="5"/>
      <c r="T18" s="5"/>
    </row>
    <row r="19" customFormat="false" ht="15" hidden="false" customHeight="true" outlineLevel="0" collapsed="false">
      <c r="A19" s="5"/>
      <c r="B19" s="5"/>
      <c r="C19" s="5"/>
      <c r="D19" s="5"/>
      <c r="E19" s="5"/>
      <c r="F19" s="5"/>
      <c r="G19" s="5"/>
      <c r="H19" s="5"/>
      <c r="I19" s="5"/>
      <c r="J19" s="5"/>
      <c r="K19" s="5"/>
      <c r="L19" s="5"/>
      <c r="M19" s="5"/>
      <c r="N19" s="5"/>
      <c r="O19" s="5" t="str">
        <f aca="false">IF(OR(I19="INSUFFICIENT_GROUNDING",I19="LEGACY_UNREVIEWED",J19="CRITICAL"),"REFUSE / ESCALATE",IF(OR(I19="CONTESTED",J19="HIGH"),"NARROW / ESCALATE",IF(OR(I19="ASSUMPTION_BOUND",J19="MEDIUM"),"SENSITIVITY_ONLY / MONITOR","ALLOW IF OTHER GATES PASS")))</f>
        <v>ALLOW IF OTHER GATES PASS</v>
      </c>
      <c r="P19" s="5"/>
      <c r="Q19" s="5"/>
      <c r="R19" s="5"/>
      <c r="S19" s="5"/>
      <c r="T19" s="5"/>
    </row>
    <row r="20" customFormat="false" ht="15" hidden="false" customHeight="true" outlineLevel="0" collapsed="false">
      <c r="A20" s="11" t="s">
        <v>1184</v>
      </c>
      <c r="B20" s="5" t="s">
        <v>1185</v>
      </c>
      <c r="C20" s="5" t="s">
        <v>1186</v>
      </c>
      <c r="D20" s="5"/>
      <c r="E20" s="5"/>
      <c r="F20" s="5"/>
      <c r="G20" s="5"/>
      <c r="H20" s="5"/>
      <c r="I20" s="5"/>
      <c r="J20" s="5"/>
      <c r="K20" s="5"/>
      <c r="L20" s="5"/>
      <c r="M20" s="5"/>
      <c r="N20" s="5"/>
      <c r="O20" s="5" t="str">
        <f aca="false">IF(OR(I20="INSUFFICIENT_GROUNDING",I20="LEGACY_UNREVIEWED",J20="CRITICAL"),"REFUSE / ESCALATE",IF(OR(I20="CONTESTED",J20="HIGH"),"NARROW / ESCALATE",IF(OR(I20="ASSUMPTION_BOUND",J20="MEDIUM"),"SENSITIVITY_ONLY / MONITOR","ALLOW IF OTHER GATES PASS")))</f>
        <v>ALLOW IF OTHER GATES PASS</v>
      </c>
      <c r="P20" s="5"/>
      <c r="Q20" s="5"/>
      <c r="R20" s="5"/>
      <c r="S20" s="5"/>
      <c r="T20" s="5"/>
    </row>
    <row r="21" customFormat="false" ht="15" hidden="false" customHeight="true" outlineLevel="0" collapsed="false">
      <c r="A21" s="11" t="s">
        <v>1187</v>
      </c>
      <c r="B21" s="5" t="s">
        <v>1188</v>
      </c>
      <c r="C21" s="5" t="s">
        <v>1189</v>
      </c>
      <c r="D21" s="5"/>
      <c r="E21" s="5"/>
      <c r="F21" s="5"/>
      <c r="G21" s="5"/>
      <c r="H21" s="5"/>
      <c r="I21" s="5"/>
      <c r="J21" s="5"/>
      <c r="K21" s="5"/>
      <c r="L21" s="5"/>
      <c r="M21" s="5"/>
      <c r="N21" s="5"/>
      <c r="O21" s="5" t="str">
        <f aca="false">IF(OR(I21="INSUFFICIENT_GROUNDING",I21="LEGACY_UNREVIEWED",J21="CRITICAL"),"REFUSE / ESCALATE",IF(OR(I21="CONTESTED",J21="HIGH"),"NARROW / ESCALATE",IF(OR(I21="ASSUMPTION_BOUND",J21="MEDIUM"),"SENSITIVITY_ONLY / MONITOR","ALLOW IF OTHER GATES PASS")))</f>
        <v>ALLOW IF OTHER GATES PASS</v>
      </c>
      <c r="P21" s="5"/>
      <c r="Q21" s="5"/>
      <c r="R21" s="5"/>
      <c r="S21" s="5"/>
      <c r="T21" s="5"/>
    </row>
    <row r="22" customFormat="false" ht="15" hidden="false" customHeight="true" outlineLevel="0" collapsed="false">
      <c r="A22" s="11" t="s">
        <v>1190</v>
      </c>
      <c r="B22" s="5" t="s">
        <v>1191</v>
      </c>
      <c r="C22" s="5" t="s">
        <v>1192</v>
      </c>
      <c r="D22" s="5"/>
      <c r="E22" s="5"/>
      <c r="F22" s="5"/>
      <c r="G22" s="5"/>
      <c r="H22" s="5"/>
      <c r="I22" s="5"/>
      <c r="J22" s="5"/>
      <c r="K22" s="5"/>
      <c r="L22" s="5"/>
      <c r="M22" s="5"/>
      <c r="N22" s="5"/>
      <c r="O22" s="5" t="str">
        <f aca="false">IF(OR(I22="INSUFFICIENT_GROUNDING",I22="LEGACY_UNREVIEWED",J22="CRITICAL"),"REFUSE / ESCALATE",IF(OR(I22="CONTESTED",J22="HIGH"),"NARROW / ESCALATE",IF(OR(I22="ASSUMPTION_BOUND",J22="MEDIUM"),"SENSITIVITY_ONLY / MONITOR","ALLOW IF OTHER GATES PASS")))</f>
        <v>ALLOW IF OTHER GATES PASS</v>
      </c>
      <c r="P22" s="5"/>
      <c r="Q22" s="5"/>
      <c r="R22" s="5"/>
      <c r="S22" s="5"/>
      <c r="T22" s="5"/>
    </row>
    <row r="23" customFormat="false" ht="15" hidden="false" customHeight="true" outlineLevel="0" collapsed="false">
      <c r="A23" s="11" t="s">
        <v>1193</v>
      </c>
      <c r="B23" s="5" t="s">
        <v>1194</v>
      </c>
      <c r="C23" s="5" t="s">
        <v>1195</v>
      </c>
      <c r="D23" s="5"/>
      <c r="E23" s="5"/>
      <c r="F23" s="5"/>
      <c r="G23" s="5"/>
      <c r="H23" s="5"/>
      <c r="I23" s="5"/>
      <c r="J23" s="5"/>
      <c r="K23" s="5"/>
      <c r="L23" s="5"/>
      <c r="M23" s="5"/>
      <c r="N23" s="5"/>
      <c r="O23" s="5" t="str">
        <f aca="false">IF(OR(I23="INSUFFICIENT_GROUNDING",I23="LEGACY_UNREVIEWED",J23="CRITICAL"),"REFUSE / ESCALATE",IF(OR(I23="CONTESTED",J23="HIGH"),"NARROW / ESCALATE",IF(OR(I23="ASSUMPTION_BOUND",J23="MEDIUM"),"SENSITIVITY_ONLY / MONITOR","ALLOW IF OTHER GATES PASS")))</f>
        <v>ALLOW IF OTHER GATES PASS</v>
      </c>
      <c r="P23" s="5"/>
      <c r="Q23" s="5"/>
      <c r="R23" s="5"/>
      <c r="S23" s="5"/>
      <c r="T23" s="5"/>
    </row>
    <row r="24" customFormat="false" ht="15" hidden="false" customHeight="true" outlineLevel="0" collapsed="false">
      <c r="A24" s="11" t="s">
        <v>1196</v>
      </c>
      <c r="B24" s="5" t="s">
        <v>1197</v>
      </c>
      <c r="C24" s="5" t="s">
        <v>1198</v>
      </c>
      <c r="D24" s="5"/>
      <c r="E24" s="5"/>
      <c r="F24" s="5"/>
      <c r="G24" s="5"/>
      <c r="H24" s="5"/>
      <c r="I24" s="5"/>
      <c r="J24" s="5"/>
      <c r="K24" s="5"/>
      <c r="L24" s="5"/>
      <c r="M24" s="5"/>
      <c r="N24" s="5"/>
      <c r="O24" s="5" t="str">
        <f aca="false">IF(OR(I24="INSUFFICIENT_GROUNDING",I24="LEGACY_UNREVIEWED",J24="CRITICAL"),"REFUSE / ESCALATE",IF(OR(I24="CONTESTED",J24="HIGH"),"NARROW / ESCALATE",IF(OR(I24="ASSUMPTION_BOUND",J24="MEDIUM"),"SENSITIVITY_ONLY / MONITOR","ALLOW IF OTHER GATES PASS")))</f>
        <v>ALLOW IF OTHER GATES PASS</v>
      </c>
      <c r="P24" s="5"/>
      <c r="Q24" s="5"/>
      <c r="R24" s="5"/>
      <c r="S24" s="5"/>
      <c r="T24" s="5"/>
    </row>
    <row r="25" customFormat="false" ht="15" hidden="false" customHeight="true" outlineLevel="0" collapsed="false">
      <c r="A25" s="5" t="s">
        <v>1199</v>
      </c>
      <c r="B25" s="5" t="s">
        <v>1200</v>
      </c>
      <c r="C25" s="5"/>
      <c r="D25" s="5"/>
      <c r="E25" s="5"/>
      <c r="F25" s="5"/>
      <c r="G25" s="5"/>
      <c r="H25" s="5"/>
      <c r="I25" s="5"/>
      <c r="J25" s="5"/>
      <c r="K25" s="5"/>
      <c r="L25" s="5"/>
      <c r="M25" s="5"/>
      <c r="N25" s="5"/>
      <c r="O25" s="5" t="str">
        <f aca="false">IF(OR(I25="INSUFFICIENT_GROUNDING",I25="LEGACY_UNREVIEWED",J25="CRITICAL"),"REFUSE / ESCALATE",IF(OR(I25="CONTESTED",J25="HIGH"),"NARROW / ESCALATE",IF(OR(I25="ASSUMPTION_BOUND",J25="MEDIUM"),"SENSITIVITY_ONLY / MONITOR","ALLOW IF OTHER GATES PASS")))</f>
        <v>ALLOW IF OTHER GATES PASS</v>
      </c>
      <c r="P25" s="5"/>
      <c r="Q25" s="5"/>
      <c r="R25" s="5"/>
      <c r="S25" s="5"/>
      <c r="T25" s="5"/>
    </row>
    <row r="26" customFormat="false" ht="15" hidden="false" customHeight="true" outlineLevel="0" collapsed="false">
      <c r="A26" s="5" t="s">
        <v>1201</v>
      </c>
      <c r="B26" s="5" t="s">
        <v>1202</v>
      </c>
      <c r="C26" s="5"/>
      <c r="D26" s="5"/>
      <c r="E26" s="5"/>
      <c r="F26" s="5"/>
      <c r="G26" s="5"/>
      <c r="H26" s="5"/>
      <c r="I26" s="5"/>
      <c r="J26" s="5"/>
      <c r="K26" s="5"/>
      <c r="L26" s="5"/>
      <c r="M26" s="5"/>
      <c r="N26" s="5"/>
      <c r="O26" s="5" t="str">
        <f aca="false">IF(OR(I26="INSUFFICIENT_GROUNDING",I26="LEGACY_UNREVIEWED",J26="CRITICAL"),"REFUSE / ESCALATE",IF(OR(I26="CONTESTED",J26="HIGH"),"NARROW / ESCALATE",IF(OR(I26="ASSUMPTION_BOUND",J26="MEDIUM"),"SENSITIVITY_ONLY / MONITOR","ALLOW IF OTHER GATES PASS")))</f>
        <v>ALLOW IF OTHER GATES PASS</v>
      </c>
      <c r="P26" s="5"/>
      <c r="Q26" s="5"/>
      <c r="R26" s="5"/>
      <c r="S26" s="5"/>
      <c r="T26" s="5"/>
    </row>
    <row r="27" customFormat="false" ht="15" hidden="false" customHeight="true" outlineLevel="0" collapsed="false">
      <c r="A27" s="5" t="s">
        <v>1203</v>
      </c>
      <c r="B27" s="5" t="s">
        <v>1204</v>
      </c>
      <c r="C27" s="5"/>
      <c r="D27" s="5"/>
      <c r="E27" s="5"/>
      <c r="F27" s="5"/>
      <c r="G27" s="5"/>
      <c r="H27" s="5"/>
      <c r="I27" s="5"/>
      <c r="J27" s="5"/>
      <c r="K27" s="5"/>
      <c r="L27" s="5"/>
      <c r="M27" s="5"/>
      <c r="N27" s="5"/>
      <c r="O27" s="5" t="str">
        <f aca="false">IF(OR(I27="INSUFFICIENT_GROUNDING",I27="LEGACY_UNREVIEWED",J27="CRITICAL"),"REFUSE / ESCALATE",IF(OR(I27="CONTESTED",J27="HIGH"),"NARROW / ESCALATE",IF(OR(I27="ASSUMPTION_BOUND",J27="MEDIUM"),"SENSITIVITY_ONLY / MONITOR","ALLOW IF OTHER GATES PASS")))</f>
        <v>ALLOW IF OTHER GATES PASS</v>
      </c>
      <c r="P27" s="5"/>
      <c r="Q27" s="5"/>
      <c r="R27" s="5"/>
      <c r="S27" s="5"/>
      <c r="T27" s="5"/>
    </row>
    <row r="28" customFormat="false" ht="27.75" hidden="false" customHeight="true" outlineLevel="0" collapsed="false">
      <c r="A28" s="5"/>
      <c r="B28" s="5"/>
      <c r="C28" s="5"/>
      <c r="D28" s="5"/>
      <c r="E28" s="5"/>
      <c r="F28" s="5"/>
      <c r="G28" s="5"/>
      <c r="H28" s="5"/>
      <c r="I28" s="5"/>
      <c r="J28" s="5"/>
      <c r="K28" s="5"/>
      <c r="L28" s="5"/>
      <c r="M28" s="5"/>
      <c r="N28" s="5"/>
      <c r="O28" s="5" t="str">
        <f aca="false">IF(OR(I28="INSUFFICIENT_GROUNDING",I28="LEGACY_UNREVIEWED",J28="CRITICAL"),"REFUSE / ESCALATE",IF(OR(I28="CONTESTED",J28="HIGH"),"NARROW / ESCALATE",IF(OR(I28="ASSUMPTION_BOUND",J28="MEDIUM"),"SENSITIVITY_ONLY / MONITOR","ALLOW IF OTHER GATES PASS")))</f>
        <v>ALLOW IF OTHER GATES PASS</v>
      </c>
      <c r="P28" s="5"/>
      <c r="Q28" s="5"/>
      <c r="R28" s="5"/>
      <c r="S28" s="5"/>
      <c r="T28" s="5"/>
    </row>
    <row r="29" customFormat="false" ht="27.75" hidden="false" customHeight="true" outlineLevel="0" collapsed="false">
      <c r="A29" s="5"/>
      <c r="B29" s="5"/>
      <c r="C29" s="5"/>
      <c r="D29" s="5"/>
      <c r="E29" s="5"/>
      <c r="F29" s="5"/>
      <c r="G29" s="5"/>
      <c r="H29" s="5"/>
      <c r="I29" s="5"/>
      <c r="J29" s="5"/>
      <c r="K29" s="5"/>
      <c r="L29" s="5"/>
      <c r="M29" s="5"/>
      <c r="N29" s="5"/>
      <c r="O29" s="5" t="str">
        <f aca="false">IF(OR(I29="INSUFFICIENT_GROUNDING",I29="LEGACY_UNREVIEWED",J29="CRITICAL"),"REFUSE / ESCALATE",IF(OR(I29="CONTESTED",J29="HIGH"),"NARROW / ESCALATE",IF(OR(I29="ASSUMPTION_BOUND",J29="MEDIUM"),"SENSITIVITY_ONLY / MONITOR","ALLOW IF OTHER GATES PASS")))</f>
        <v>ALLOW IF OTHER GATES PASS</v>
      </c>
      <c r="P29" s="5"/>
      <c r="Q29" s="5"/>
      <c r="R29" s="5"/>
      <c r="S29" s="5"/>
      <c r="T29" s="5"/>
    </row>
    <row r="30" customFormat="false" ht="27.75" hidden="false" customHeight="true" outlineLevel="0" collapsed="false">
      <c r="A30" s="5"/>
      <c r="B30" s="5"/>
      <c r="C30" s="5"/>
      <c r="D30" s="5"/>
      <c r="E30" s="5"/>
      <c r="F30" s="5"/>
      <c r="G30" s="5"/>
      <c r="H30" s="5"/>
      <c r="I30" s="5"/>
      <c r="J30" s="5"/>
      <c r="K30" s="5"/>
      <c r="L30" s="5"/>
      <c r="M30" s="5"/>
      <c r="N30" s="5"/>
      <c r="O30" s="5" t="str">
        <f aca="false">IF(OR(I30="INSUFFICIENT_GROUNDING",I30="LEGACY_UNREVIEWED",J30="CRITICAL"),"REFUSE / ESCALATE",IF(OR(I30="CONTESTED",J30="HIGH"),"NARROW / ESCALATE",IF(OR(I30="ASSUMPTION_BOUND",J30="MEDIUM"),"SENSITIVITY_ONLY / MONITOR","ALLOW IF OTHER GATES PASS")))</f>
        <v>ALLOW IF OTHER GATES PASS</v>
      </c>
      <c r="P30" s="5"/>
      <c r="Q30" s="5"/>
      <c r="R30" s="5"/>
      <c r="S30" s="5"/>
      <c r="T30" s="5"/>
    </row>
    <row r="31" customFormat="false" ht="15" hidden="false" customHeight="false" outlineLevel="0" collapsed="false">
      <c r="A31" s="5"/>
      <c r="B31" s="5"/>
      <c r="C31" s="5"/>
      <c r="D31" s="5"/>
      <c r="E31" s="5"/>
      <c r="F31" s="5"/>
      <c r="G31" s="5"/>
      <c r="H31" s="5"/>
      <c r="I31" s="5"/>
      <c r="J31" s="5"/>
      <c r="K31" s="5"/>
      <c r="L31" s="5"/>
      <c r="M31" s="5"/>
      <c r="N31" s="5"/>
      <c r="O31" s="5"/>
      <c r="P31" s="5"/>
      <c r="Q31" s="5"/>
      <c r="R31" s="5"/>
      <c r="S31" s="5"/>
      <c r="T31" s="5"/>
    </row>
    <row r="32" customFormat="false" ht="15" hidden="false" customHeight="false" outlineLevel="0" collapsed="false">
      <c r="A32" s="5"/>
      <c r="B32" s="5"/>
      <c r="C32" s="5"/>
      <c r="D32" s="5"/>
      <c r="E32" s="5"/>
      <c r="F32" s="5"/>
      <c r="G32" s="5"/>
      <c r="H32" s="5"/>
      <c r="I32" s="5"/>
      <c r="J32" s="5"/>
      <c r="K32" s="5"/>
      <c r="L32" s="5"/>
      <c r="M32" s="5"/>
      <c r="N32" s="5"/>
      <c r="O32" s="5"/>
      <c r="P32" s="5"/>
      <c r="Q32" s="5"/>
      <c r="R32" s="5"/>
      <c r="S32" s="5"/>
      <c r="T32" s="5"/>
    </row>
    <row r="33" customFormat="false" ht="57.45" hidden="false" customHeight="false" outlineLevel="0" collapsed="false">
      <c r="A33" s="57" t="s">
        <v>1205</v>
      </c>
      <c r="B33" s="5" t="s">
        <v>1206</v>
      </c>
      <c r="C33" s="5"/>
      <c r="D33" s="5"/>
      <c r="E33" s="5"/>
      <c r="F33" s="5"/>
      <c r="G33" s="5"/>
      <c r="H33" s="5"/>
      <c r="I33" s="5"/>
      <c r="J33" s="5"/>
      <c r="K33" s="5"/>
      <c r="L33" s="5"/>
      <c r="M33" s="5"/>
      <c r="N33" s="5"/>
      <c r="O33" s="5"/>
      <c r="P33" s="5"/>
      <c r="Q33" s="5"/>
      <c r="R33" s="5"/>
      <c r="S33" s="5"/>
      <c r="T33" s="5"/>
    </row>
    <row r="34" customFormat="false" ht="15" hidden="false" customHeight="false" outlineLevel="0" collapsed="false">
      <c r="A34" s="57" t="s">
        <v>1207</v>
      </c>
      <c r="B34" s="5" t="s">
        <v>1208</v>
      </c>
      <c r="C34" s="5"/>
      <c r="D34" s="5"/>
      <c r="E34" s="5"/>
      <c r="F34" s="5"/>
      <c r="G34" s="5"/>
      <c r="H34" s="5"/>
      <c r="I34" s="5"/>
      <c r="J34" s="5"/>
      <c r="K34" s="5"/>
      <c r="L34" s="5"/>
      <c r="M34" s="5"/>
      <c r="N34" s="5"/>
      <c r="O34" s="5"/>
      <c r="P34" s="5"/>
      <c r="Q34" s="5"/>
      <c r="R34" s="5"/>
      <c r="S34" s="5"/>
      <c r="T34" s="5"/>
    </row>
    <row r="35" customFormat="false" ht="23.85" hidden="false" customHeight="false" outlineLevel="0" collapsed="false">
      <c r="A35" s="57" t="s">
        <v>1209</v>
      </c>
      <c r="B35" s="5" t="s">
        <v>1210</v>
      </c>
      <c r="C35" s="5"/>
      <c r="D35" s="5"/>
      <c r="E35" s="5"/>
      <c r="F35" s="5"/>
      <c r="G35" s="5"/>
      <c r="H35" s="5"/>
      <c r="I35" s="5"/>
      <c r="J35" s="5"/>
      <c r="K35" s="5"/>
      <c r="L35" s="5"/>
      <c r="M35" s="5"/>
      <c r="N35" s="5"/>
      <c r="O35" s="5"/>
      <c r="P35" s="5"/>
      <c r="Q35" s="5"/>
      <c r="R35" s="5"/>
      <c r="S35" s="5"/>
      <c r="T35" s="5"/>
    </row>
    <row r="36" customFormat="false" ht="68.65" hidden="false" customHeight="false" outlineLevel="0" collapsed="false">
      <c r="A36" s="57" t="s">
        <v>1211</v>
      </c>
      <c r="B36" s="5" t="s">
        <v>1212</v>
      </c>
      <c r="C36" s="5"/>
      <c r="D36" s="5"/>
      <c r="E36" s="5"/>
      <c r="F36" s="5"/>
      <c r="G36" s="5"/>
      <c r="H36" s="5"/>
      <c r="I36" s="5"/>
      <c r="J36" s="5"/>
      <c r="K36" s="5"/>
      <c r="L36" s="5"/>
      <c r="M36" s="5"/>
      <c r="N36" s="5"/>
      <c r="O36" s="5"/>
      <c r="P36" s="5"/>
      <c r="Q36" s="5"/>
      <c r="R36" s="5"/>
      <c r="S36" s="5"/>
      <c r="T36" s="5"/>
    </row>
    <row r="37" customFormat="false" ht="57.45" hidden="false" customHeight="false" outlineLevel="0" collapsed="false">
      <c r="A37" s="57" t="s">
        <v>329</v>
      </c>
      <c r="B37" s="5" t="s">
        <v>1213</v>
      </c>
      <c r="C37" s="5"/>
      <c r="D37" s="5"/>
      <c r="E37" s="5"/>
      <c r="F37" s="5"/>
      <c r="G37" s="5"/>
      <c r="H37" s="5"/>
      <c r="I37" s="5"/>
      <c r="J37" s="5"/>
      <c r="K37" s="5"/>
      <c r="L37" s="5"/>
      <c r="M37" s="5"/>
      <c r="N37" s="5"/>
      <c r="O37" s="5"/>
      <c r="P37" s="5"/>
      <c r="Q37" s="5"/>
      <c r="R37" s="5"/>
      <c r="S37" s="5"/>
      <c r="T37" s="5"/>
    </row>
    <row r="38" customFormat="false" ht="15" hidden="false" customHeight="false" outlineLevel="0" collapsed="false">
      <c r="A38" s="5"/>
      <c r="B38" s="5"/>
      <c r="C38" s="5"/>
      <c r="D38" s="5"/>
      <c r="E38" s="5"/>
      <c r="F38" s="5"/>
      <c r="G38" s="5"/>
      <c r="H38" s="5"/>
      <c r="I38" s="5"/>
      <c r="J38" s="5"/>
      <c r="K38" s="5"/>
      <c r="L38" s="5"/>
      <c r="M38" s="5"/>
      <c r="N38" s="5"/>
      <c r="O38" s="5"/>
      <c r="P38" s="5"/>
      <c r="Q38" s="5"/>
      <c r="R38" s="5"/>
      <c r="S38" s="5"/>
      <c r="T38" s="5"/>
    </row>
    <row r="39" customFormat="false" ht="23.85" hidden="false" customHeight="false" outlineLevel="0" collapsed="false">
      <c r="A39" s="5" t="s">
        <v>1214</v>
      </c>
      <c r="B39" s="5"/>
      <c r="C39" s="5"/>
      <c r="D39" s="5"/>
      <c r="E39" s="5"/>
      <c r="F39" s="5"/>
      <c r="G39" s="5"/>
      <c r="H39" s="5"/>
      <c r="I39" s="5"/>
      <c r="J39" s="5"/>
      <c r="K39" s="5"/>
      <c r="L39" s="5"/>
      <c r="M39" s="5"/>
      <c r="N39" s="5"/>
      <c r="O39" s="5"/>
      <c r="P39" s="5"/>
      <c r="Q39" s="5"/>
      <c r="R39" s="5"/>
      <c r="S39" s="5"/>
      <c r="T39" s="5"/>
    </row>
    <row r="40" customFormat="false" ht="35.05" hidden="false" customHeight="false" outlineLevel="0" collapsed="false">
      <c r="A40" s="5" t="s">
        <v>587</v>
      </c>
      <c r="B40" s="5" t="s">
        <v>1215</v>
      </c>
      <c r="C40" s="5" t="s">
        <v>1216</v>
      </c>
      <c r="D40" s="5" t="s">
        <v>1217</v>
      </c>
      <c r="E40" s="5"/>
      <c r="F40" s="5"/>
      <c r="G40" s="5"/>
      <c r="H40" s="5"/>
      <c r="I40" s="5"/>
      <c r="J40" s="5"/>
      <c r="K40" s="5"/>
      <c r="L40" s="5" t="s">
        <v>1218</v>
      </c>
      <c r="M40" s="5" t="s">
        <v>1219</v>
      </c>
      <c r="N40" s="5"/>
      <c r="O40" s="5"/>
      <c r="P40" s="5"/>
      <c r="Q40" s="5"/>
      <c r="R40" s="5"/>
      <c r="S40" s="5"/>
      <c r="T40" s="5"/>
    </row>
    <row r="41" customFormat="false" ht="35.05" hidden="false" customHeight="false" outlineLevel="0" collapsed="false">
      <c r="A41" s="5" t="s">
        <v>593</v>
      </c>
      <c r="B41" s="5" t="s">
        <v>1220</v>
      </c>
      <c r="C41" s="5" t="s">
        <v>1216</v>
      </c>
      <c r="D41" s="5" t="s">
        <v>1221</v>
      </c>
      <c r="E41" s="5"/>
      <c r="F41" s="5"/>
      <c r="G41" s="5"/>
      <c r="H41" s="5"/>
      <c r="I41" s="5"/>
      <c r="J41" s="5"/>
      <c r="K41" s="5"/>
      <c r="L41" s="5" t="s">
        <v>1218</v>
      </c>
      <c r="M41" s="5" t="s">
        <v>1222</v>
      </c>
      <c r="N41" s="5"/>
      <c r="O41" s="5"/>
      <c r="P41" s="5"/>
      <c r="Q41" s="5"/>
      <c r="R41" s="5"/>
      <c r="S41" s="5"/>
      <c r="T41" s="5"/>
    </row>
    <row r="42" customFormat="false" ht="35.05" hidden="false" customHeight="false" outlineLevel="0" collapsed="false">
      <c r="A42" s="5" t="s">
        <v>596</v>
      </c>
      <c r="B42" s="5" t="s">
        <v>1223</v>
      </c>
      <c r="C42" s="5" t="s">
        <v>1216</v>
      </c>
      <c r="D42" s="5" t="s">
        <v>1224</v>
      </c>
      <c r="E42" s="5"/>
      <c r="F42" s="5"/>
      <c r="G42" s="5"/>
      <c r="H42" s="5"/>
      <c r="I42" s="5"/>
      <c r="J42" s="5"/>
      <c r="K42" s="5"/>
      <c r="L42" s="5" t="s">
        <v>1218</v>
      </c>
      <c r="M42" s="5" t="s">
        <v>1225</v>
      </c>
      <c r="N42" s="5"/>
      <c r="O42" s="5"/>
      <c r="P42" s="5"/>
      <c r="Q42" s="5"/>
      <c r="R42" s="5"/>
      <c r="S42" s="5"/>
      <c r="T42" s="5"/>
    </row>
    <row r="43" customFormat="false" ht="35.05" hidden="false" customHeight="false" outlineLevel="0" collapsed="false">
      <c r="A43" s="5" t="s">
        <v>599</v>
      </c>
      <c r="B43" s="5" t="s">
        <v>1226</v>
      </c>
      <c r="C43" s="5" t="s">
        <v>1216</v>
      </c>
      <c r="D43" s="5" t="s">
        <v>1227</v>
      </c>
      <c r="E43" s="5"/>
      <c r="F43" s="5"/>
      <c r="G43" s="5"/>
      <c r="H43" s="5"/>
      <c r="I43" s="5"/>
      <c r="J43" s="5"/>
      <c r="K43" s="5"/>
      <c r="L43" s="5" t="s">
        <v>1218</v>
      </c>
      <c r="M43" s="5" t="s">
        <v>1228</v>
      </c>
      <c r="N43" s="5"/>
      <c r="O43" s="5"/>
      <c r="P43" s="5"/>
      <c r="Q43" s="5"/>
      <c r="R43" s="5"/>
      <c r="S43" s="5"/>
      <c r="T43" s="5"/>
    </row>
    <row r="44" customFormat="false" ht="57.45" hidden="false" customHeight="false" outlineLevel="0" collapsed="false">
      <c r="A44" s="31" t="s">
        <v>1229</v>
      </c>
      <c r="B44" s="31" t="s">
        <v>1230</v>
      </c>
      <c r="C44" s="31"/>
      <c r="D44" s="31"/>
      <c r="E44" s="31"/>
      <c r="F44" s="31"/>
      <c r="G44" s="31"/>
      <c r="H44" s="31"/>
      <c r="I44" s="31"/>
      <c r="J44" s="31"/>
      <c r="K44" s="31"/>
      <c r="L44" s="31"/>
      <c r="M44" s="31"/>
      <c r="N44" s="31"/>
      <c r="O44" s="31"/>
      <c r="P44" s="31"/>
      <c r="Q44" s="31"/>
      <c r="R44" s="31"/>
      <c r="S44" s="31"/>
      <c r="T44" s="31"/>
    </row>
    <row r="45" customFormat="false" ht="15" hidden="false" customHeight="false" outlineLevel="0" collapsed="false">
      <c r="A45" s="31"/>
      <c r="B45" s="31"/>
      <c r="C45" s="31"/>
      <c r="D45" s="31"/>
      <c r="E45" s="31"/>
      <c r="F45" s="31"/>
      <c r="G45" s="31"/>
      <c r="H45" s="31"/>
      <c r="I45" s="31"/>
      <c r="J45" s="31"/>
      <c r="K45" s="31"/>
      <c r="L45" s="31"/>
      <c r="M45" s="31"/>
      <c r="N45" s="31"/>
      <c r="O45" s="31"/>
      <c r="P45" s="31"/>
      <c r="Q45" s="31"/>
      <c r="R45" s="31"/>
      <c r="S45" s="31"/>
      <c r="T45" s="31"/>
    </row>
    <row r="46" customFormat="false" ht="15" hidden="false" customHeight="false" outlineLevel="0" collapsed="false">
      <c r="A46" s="31"/>
      <c r="B46" s="31"/>
      <c r="C46" s="31"/>
      <c r="D46" s="31"/>
      <c r="E46" s="31"/>
      <c r="F46" s="31"/>
      <c r="G46" s="31"/>
      <c r="H46" s="31"/>
      <c r="I46" s="31"/>
      <c r="J46" s="31"/>
      <c r="K46" s="31"/>
      <c r="L46" s="31"/>
      <c r="M46" s="31"/>
      <c r="N46" s="31"/>
      <c r="O46" s="31"/>
      <c r="P46" s="31"/>
      <c r="Q46" s="31"/>
      <c r="R46" s="31"/>
      <c r="S46" s="31"/>
      <c r="T46" s="31"/>
    </row>
    <row r="47" customFormat="false" ht="15" hidden="false" customHeight="false" outlineLevel="0" collapsed="false">
      <c r="A47" s="31"/>
      <c r="B47" s="31"/>
      <c r="C47" s="31"/>
      <c r="D47" s="31"/>
      <c r="E47" s="31"/>
      <c r="F47" s="31"/>
      <c r="G47" s="31"/>
      <c r="H47" s="31"/>
      <c r="I47" s="31"/>
      <c r="J47" s="31"/>
      <c r="K47" s="31"/>
      <c r="L47" s="31"/>
      <c r="M47" s="31"/>
      <c r="N47" s="31"/>
      <c r="O47" s="31"/>
      <c r="P47" s="31"/>
      <c r="Q47" s="31"/>
      <c r="R47" s="31"/>
      <c r="S47" s="31"/>
      <c r="T47" s="31"/>
    </row>
    <row r="48" customFormat="false" ht="15" hidden="false" customHeight="false" outlineLevel="0" collapsed="false">
      <c r="A48" s="31"/>
      <c r="B48" s="31"/>
      <c r="C48" s="31"/>
      <c r="D48" s="31"/>
      <c r="E48" s="31"/>
      <c r="F48" s="31"/>
      <c r="G48" s="31"/>
      <c r="H48" s="31"/>
      <c r="I48" s="31"/>
      <c r="J48" s="31"/>
      <c r="K48" s="31"/>
      <c r="L48" s="31"/>
      <c r="M48" s="31"/>
      <c r="N48" s="31"/>
      <c r="O48" s="31"/>
      <c r="P48" s="31"/>
      <c r="Q48" s="31"/>
      <c r="R48" s="31"/>
      <c r="S48" s="31"/>
      <c r="T48" s="31"/>
    </row>
    <row r="49" customFormat="false" ht="15" hidden="false" customHeight="false" outlineLevel="0" collapsed="false">
      <c r="A49" s="31"/>
      <c r="B49" s="31"/>
      <c r="C49" s="31"/>
      <c r="D49" s="31"/>
      <c r="E49" s="31"/>
      <c r="F49" s="31"/>
      <c r="G49" s="31"/>
      <c r="H49" s="31"/>
      <c r="I49" s="31"/>
      <c r="J49" s="31"/>
      <c r="K49" s="31"/>
      <c r="L49" s="31"/>
      <c r="M49" s="31"/>
      <c r="N49" s="31"/>
      <c r="O49" s="31"/>
      <c r="P49" s="31"/>
      <c r="Q49" s="31"/>
      <c r="R49" s="31"/>
      <c r="S49" s="31"/>
      <c r="T49" s="31"/>
    </row>
    <row r="50" customFormat="false" ht="15" hidden="false" customHeight="false" outlineLevel="0" collapsed="false">
      <c r="A50" s="31"/>
      <c r="B50" s="31"/>
      <c r="C50" s="31"/>
      <c r="D50" s="31"/>
      <c r="E50" s="31"/>
      <c r="F50" s="31"/>
      <c r="G50" s="31"/>
      <c r="H50" s="31"/>
      <c r="I50" s="31"/>
      <c r="J50" s="31"/>
      <c r="K50" s="31"/>
      <c r="L50" s="31"/>
      <c r="M50" s="31"/>
      <c r="N50" s="31"/>
      <c r="O50" s="31"/>
      <c r="P50" s="31"/>
      <c r="Q50" s="31"/>
      <c r="R50" s="31"/>
      <c r="S50" s="31"/>
      <c r="T50" s="31"/>
    </row>
    <row r="51" customFormat="false" ht="15" hidden="false" customHeight="false" outlineLevel="0" collapsed="false">
      <c r="A51" s="31"/>
      <c r="B51" s="31"/>
      <c r="C51" s="31"/>
      <c r="D51" s="31"/>
      <c r="E51" s="31"/>
      <c r="F51" s="31"/>
      <c r="G51" s="31"/>
      <c r="H51" s="31"/>
      <c r="I51" s="31"/>
      <c r="J51" s="31"/>
      <c r="K51" s="31"/>
      <c r="L51" s="31"/>
      <c r="M51" s="31"/>
      <c r="N51" s="31"/>
      <c r="O51" s="31"/>
      <c r="P51" s="31"/>
      <c r="Q51" s="31"/>
      <c r="R51" s="31"/>
      <c r="S51" s="31"/>
      <c r="T51" s="31"/>
    </row>
    <row r="52" customFormat="false" ht="15" hidden="false" customHeight="false" outlineLevel="0" collapsed="false">
      <c r="A52" s="31"/>
      <c r="B52" s="31"/>
      <c r="C52" s="31"/>
      <c r="D52" s="31"/>
      <c r="E52" s="31"/>
      <c r="F52" s="31"/>
      <c r="G52" s="31"/>
      <c r="H52" s="31"/>
      <c r="I52" s="31"/>
      <c r="J52" s="31"/>
      <c r="K52" s="31"/>
      <c r="L52" s="31"/>
      <c r="M52" s="31"/>
      <c r="N52" s="31"/>
      <c r="O52" s="31"/>
      <c r="P52" s="31"/>
      <c r="Q52" s="31"/>
      <c r="R52" s="31"/>
      <c r="S52" s="31"/>
      <c r="T52" s="31"/>
    </row>
    <row r="53" customFormat="false" ht="15" hidden="false" customHeight="false" outlineLevel="0" collapsed="false">
      <c r="A53" s="31"/>
      <c r="B53" s="31"/>
      <c r="C53" s="31"/>
      <c r="D53" s="31"/>
      <c r="E53" s="31"/>
      <c r="F53" s="31"/>
      <c r="G53" s="31"/>
      <c r="H53" s="31"/>
      <c r="I53" s="31"/>
      <c r="J53" s="31"/>
      <c r="K53" s="31"/>
      <c r="L53" s="31"/>
      <c r="M53" s="31"/>
      <c r="N53" s="31"/>
      <c r="O53" s="31"/>
      <c r="P53" s="31"/>
      <c r="Q53" s="31"/>
      <c r="R53" s="31"/>
      <c r="S53" s="31"/>
      <c r="T53" s="31"/>
    </row>
    <row r="54" customFormat="false" ht="15" hidden="false" customHeight="false" outlineLevel="0" collapsed="false">
      <c r="A54" s="31"/>
      <c r="B54" s="31"/>
      <c r="C54" s="31"/>
      <c r="D54" s="31"/>
      <c r="E54" s="31"/>
      <c r="F54" s="31"/>
      <c r="G54" s="31"/>
      <c r="H54" s="31"/>
      <c r="I54" s="31"/>
      <c r="J54" s="31"/>
      <c r="K54" s="31"/>
      <c r="L54" s="31"/>
      <c r="M54" s="31"/>
      <c r="N54" s="31"/>
      <c r="O54" s="31"/>
      <c r="P54" s="31"/>
      <c r="Q54" s="31"/>
      <c r="R54" s="31"/>
      <c r="S54" s="31"/>
      <c r="T54" s="31"/>
    </row>
    <row r="55" customFormat="false" ht="15" hidden="false" customHeight="false" outlineLevel="0" collapsed="false">
      <c r="A55" s="31"/>
      <c r="B55" s="31"/>
      <c r="C55" s="31"/>
      <c r="D55" s="31"/>
      <c r="E55" s="31"/>
      <c r="F55" s="31"/>
      <c r="G55" s="31"/>
      <c r="H55" s="31"/>
      <c r="I55" s="31"/>
      <c r="J55" s="31"/>
      <c r="K55" s="31"/>
      <c r="L55" s="31"/>
      <c r="M55" s="31"/>
      <c r="N55" s="31"/>
      <c r="O55" s="31"/>
      <c r="P55" s="31"/>
      <c r="Q55" s="31"/>
      <c r="R55" s="31"/>
      <c r="S55" s="31"/>
      <c r="T55" s="31"/>
    </row>
    <row r="56" customFormat="false" ht="15" hidden="false" customHeight="false" outlineLevel="0" collapsed="false">
      <c r="A56" s="31"/>
      <c r="B56" s="31"/>
      <c r="C56" s="31"/>
      <c r="D56" s="31"/>
      <c r="E56" s="31"/>
      <c r="F56" s="31"/>
      <c r="G56" s="31"/>
      <c r="H56" s="31"/>
      <c r="I56" s="31"/>
      <c r="J56" s="31"/>
      <c r="K56" s="31"/>
      <c r="L56" s="31"/>
      <c r="M56" s="31"/>
      <c r="N56" s="31"/>
      <c r="O56" s="31"/>
      <c r="P56" s="31"/>
      <c r="Q56" s="31"/>
      <c r="R56" s="31"/>
      <c r="S56" s="31"/>
      <c r="T56" s="31"/>
    </row>
    <row r="57" customFormat="false" ht="15" hidden="false" customHeight="false" outlineLevel="0" collapsed="false">
      <c r="A57" s="31"/>
      <c r="B57" s="31"/>
      <c r="C57" s="31"/>
      <c r="D57" s="31"/>
      <c r="E57" s="31"/>
      <c r="F57" s="31"/>
      <c r="G57" s="31"/>
      <c r="H57" s="31"/>
      <c r="I57" s="31"/>
      <c r="J57" s="31"/>
      <c r="K57" s="31"/>
      <c r="L57" s="31"/>
      <c r="M57" s="31"/>
      <c r="N57" s="31"/>
      <c r="O57" s="31"/>
      <c r="P57" s="31"/>
      <c r="Q57" s="31"/>
      <c r="R57" s="31"/>
      <c r="S57" s="31"/>
      <c r="T57" s="31"/>
    </row>
    <row r="58" customFormat="false" ht="15" hidden="false" customHeight="false" outlineLevel="0" collapsed="false">
      <c r="A58" s="31"/>
      <c r="B58" s="31"/>
      <c r="C58" s="31"/>
      <c r="D58" s="31"/>
      <c r="E58" s="31"/>
      <c r="F58" s="31"/>
      <c r="G58" s="31"/>
      <c r="H58" s="31"/>
      <c r="I58" s="31"/>
      <c r="J58" s="31"/>
      <c r="K58" s="31"/>
      <c r="L58" s="31"/>
      <c r="M58" s="31"/>
      <c r="N58" s="31"/>
      <c r="O58" s="31"/>
      <c r="P58" s="31"/>
      <c r="Q58" s="31"/>
      <c r="R58" s="31"/>
      <c r="S58" s="31"/>
      <c r="T58" s="31"/>
    </row>
    <row r="59" customFormat="false" ht="15" hidden="false" customHeight="false" outlineLevel="0" collapsed="false">
      <c r="A59" s="31"/>
      <c r="B59" s="31"/>
      <c r="C59" s="31"/>
      <c r="D59" s="31"/>
      <c r="E59" s="31"/>
      <c r="F59" s="31"/>
      <c r="G59" s="31"/>
      <c r="H59" s="31"/>
      <c r="I59" s="31"/>
      <c r="J59" s="31"/>
      <c r="K59" s="31"/>
      <c r="L59" s="31"/>
      <c r="M59" s="31"/>
      <c r="N59" s="31"/>
      <c r="O59" s="31"/>
      <c r="P59" s="31"/>
      <c r="Q59" s="31"/>
      <c r="R59" s="31"/>
      <c r="S59" s="31"/>
      <c r="T59" s="31"/>
    </row>
    <row r="60" customFormat="false" ht="15" hidden="false" customHeight="false" outlineLevel="0" collapsed="false">
      <c r="A60" s="31"/>
      <c r="B60" s="31"/>
      <c r="C60" s="31"/>
      <c r="D60" s="31"/>
      <c r="E60" s="31"/>
      <c r="F60" s="31"/>
      <c r="G60" s="31"/>
      <c r="H60" s="31"/>
      <c r="I60" s="31"/>
      <c r="J60" s="31"/>
      <c r="K60" s="31"/>
      <c r="L60" s="31"/>
      <c r="M60" s="31"/>
      <c r="N60" s="31"/>
      <c r="O60" s="31"/>
      <c r="P60" s="31"/>
      <c r="Q60" s="31"/>
      <c r="R60" s="31"/>
      <c r="S60" s="31"/>
      <c r="T60" s="31"/>
    </row>
    <row r="61" customFormat="false" ht="15" hidden="false" customHeight="false" outlineLevel="0" collapsed="false">
      <c r="A61" s="31"/>
      <c r="B61" s="31"/>
      <c r="C61" s="31"/>
      <c r="D61" s="31"/>
      <c r="E61" s="31"/>
      <c r="F61" s="31"/>
      <c r="G61" s="31"/>
      <c r="H61" s="31"/>
      <c r="I61" s="31"/>
      <c r="J61" s="31"/>
      <c r="K61" s="31"/>
      <c r="L61" s="31"/>
      <c r="M61" s="31"/>
      <c r="N61" s="31"/>
      <c r="O61" s="31"/>
      <c r="P61" s="31"/>
      <c r="Q61" s="31"/>
      <c r="R61" s="31"/>
      <c r="S61" s="31"/>
      <c r="T61" s="31"/>
    </row>
    <row r="62" customFormat="false" ht="15" hidden="false" customHeight="false" outlineLevel="0" collapsed="false">
      <c r="A62" s="31"/>
      <c r="B62" s="31"/>
      <c r="C62" s="31"/>
      <c r="D62" s="31"/>
      <c r="E62" s="31"/>
      <c r="F62" s="31"/>
      <c r="G62" s="31"/>
      <c r="H62" s="31"/>
      <c r="I62" s="31"/>
      <c r="J62" s="31"/>
      <c r="K62" s="31"/>
      <c r="L62" s="31"/>
      <c r="M62" s="31"/>
      <c r="N62" s="31"/>
      <c r="O62" s="31"/>
      <c r="P62" s="31"/>
      <c r="Q62" s="31"/>
      <c r="R62" s="31"/>
      <c r="S62" s="31"/>
      <c r="T62" s="31"/>
    </row>
    <row r="63" customFormat="false" ht="15" hidden="false" customHeight="false" outlineLevel="0" collapsed="false">
      <c r="A63" s="31"/>
      <c r="B63" s="31"/>
      <c r="C63" s="31"/>
      <c r="D63" s="31"/>
      <c r="E63" s="31"/>
      <c r="F63" s="31"/>
      <c r="G63" s="31"/>
      <c r="H63" s="31"/>
      <c r="I63" s="31"/>
      <c r="J63" s="31"/>
      <c r="K63" s="31"/>
      <c r="L63" s="31"/>
      <c r="M63" s="31"/>
      <c r="N63" s="31"/>
      <c r="O63" s="31"/>
      <c r="P63" s="31"/>
      <c r="Q63" s="31"/>
      <c r="R63" s="31"/>
      <c r="S63" s="31"/>
      <c r="T63" s="31"/>
    </row>
    <row r="64" customFormat="false" ht="15" hidden="false" customHeight="false" outlineLevel="0" collapsed="false">
      <c r="A64" s="31"/>
      <c r="B64" s="31"/>
      <c r="C64" s="31"/>
      <c r="D64" s="31"/>
      <c r="E64" s="31"/>
      <c r="F64" s="31"/>
      <c r="G64" s="31"/>
      <c r="H64" s="31"/>
      <c r="I64" s="31"/>
      <c r="J64" s="31"/>
      <c r="K64" s="31"/>
      <c r="L64" s="31"/>
      <c r="M64" s="31"/>
      <c r="N64" s="31"/>
      <c r="O64" s="31"/>
      <c r="P64" s="31"/>
      <c r="Q64" s="31"/>
      <c r="R64" s="31"/>
      <c r="S64" s="31"/>
      <c r="T64" s="31"/>
    </row>
    <row r="65" customFormat="false" ht="15" hidden="false" customHeight="false" outlineLevel="0" collapsed="false">
      <c r="A65" s="31"/>
      <c r="B65" s="31"/>
      <c r="C65" s="31"/>
      <c r="D65" s="31"/>
      <c r="E65" s="31"/>
      <c r="F65" s="31"/>
      <c r="G65" s="31"/>
      <c r="H65" s="31"/>
      <c r="I65" s="31"/>
      <c r="J65" s="31"/>
      <c r="K65" s="31"/>
      <c r="L65" s="31"/>
      <c r="M65" s="31"/>
      <c r="N65" s="31"/>
      <c r="O65" s="31"/>
      <c r="P65" s="31"/>
      <c r="Q65" s="31"/>
      <c r="R65" s="31"/>
      <c r="S65" s="31"/>
      <c r="T65" s="31"/>
    </row>
    <row r="66" customFormat="false" ht="15" hidden="false" customHeight="false" outlineLevel="0" collapsed="false">
      <c r="A66" s="31"/>
      <c r="B66" s="31"/>
      <c r="C66" s="31"/>
      <c r="D66" s="31"/>
      <c r="E66" s="31"/>
      <c r="F66" s="31"/>
      <c r="G66" s="31"/>
      <c r="H66" s="31"/>
      <c r="I66" s="31"/>
      <c r="J66" s="31"/>
      <c r="K66" s="31"/>
      <c r="L66" s="31"/>
      <c r="M66" s="31"/>
      <c r="N66" s="31"/>
      <c r="O66" s="31"/>
      <c r="P66" s="31"/>
      <c r="Q66" s="31"/>
      <c r="R66" s="31"/>
      <c r="S66" s="31"/>
      <c r="T66" s="31"/>
    </row>
    <row r="67" customFormat="false" ht="15" hidden="false" customHeight="false" outlineLevel="0" collapsed="false">
      <c r="A67" s="31"/>
      <c r="B67" s="31"/>
      <c r="C67" s="31"/>
      <c r="D67" s="31"/>
      <c r="E67" s="31"/>
      <c r="F67" s="31"/>
      <c r="G67" s="31"/>
      <c r="H67" s="31"/>
      <c r="I67" s="31"/>
      <c r="J67" s="31"/>
      <c r="K67" s="31"/>
      <c r="L67" s="31"/>
      <c r="M67" s="31"/>
      <c r="N67" s="31"/>
      <c r="O67" s="31"/>
      <c r="P67" s="31"/>
      <c r="Q67" s="31"/>
      <c r="R67" s="31"/>
      <c r="S67" s="31"/>
      <c r="T67" s="31"/>
    </row>
    <row r="68" customFormat="false" ht="15" hidden="false" customHeight="false" outlineLevel="0" collapsed="false">
      <c r="A68" s="31"/>
      <c r="B68" s="31"/>
      <c r="C68" s="31"/>
      <c r="D68" s="31"/>
      <c r="E68" s="31"/>
      <c r="F68" s="31"/>
      <c r="G68" s="31"/>
      <c r="H68" s="31"/>
      <c r="I68" s="31"/>
      <c r="J68" s="31"/>
      <c r="K68" s="31"/>
      <c r="L68" s="31"/>
      <c r="M68" s="31"/>
      <c r="N68" s="31"/>
      <c r="O68" s="31"/>
      <c r="P68" s="31"/>
      <c r="Q68" s="31"/>
      <c r="R68" s="31"/>
      <c r="S68" s="31"/>
      <c r="T68" s="31"/>
    </row>
    <row r="69" customFormat="false" ht="15" hidden="false" customHeight="false" outlineLevel="0" collapsed="false">
      <c r="A69" s="31"/>
      <c r="B69" s="31"/>
      <c r="C69" s="31"/>
      <c r="D69" s="31"/>
      <c r="E69" s="31"/>
      <c r="F69" s="31"/>
      <c r="G69" s="31"/>
      <c r="H69" s="31"/>
      <c r="I69" s="31"/>
      <c r="J69" s="31"/>
      <c r="K69" s="31"/>
      <c r="L69" s="31"/>
      <c r="M69" s="31"/>
      <c r="N69" s="31"/>
      <c r="O69" s="31"/>
      <c r="P69" s="31"/>
      <c r="Q69" s="31"/>
      <c r="R69" s="31"/>
      <c r="S69" s="31"/>
      <c r="T69" s="31"/>
    </row>
    <row r="70" customFormat="false" ht="15" hidden="false" customHeight="false" outlineLevel="0" collapsed="false">
      <c r="A70" s="31"/>
      <c r="B70" s="31"/>
      <c r="C70" s="31"/>
      <c r="D70" s="31"/>
      <c r="E70" s="31"/>
      <c r="F70" s="31"/>
      <c r="G70" s="31"/>
      <c r="H70" s="31"/>
      <c r="I70" s="31"/>
      <c r="J70" s="31"/>
      <c r="K70" s="31"/>
      <c r="L70" s="31"/>
      <c r="M70" s="31"/>
      <c r="N70" s="31"/>
      <c r="O70" s="31"/>
      <c r="P70" s="31"/>
      <c r="Q70" s="31"/>
      <c r="R70" s="31"/>
      <c r="S70" s="31"/>
      <c r="T70" s="31"/>
    </row>
    <row r="71" customFormat="false" ht="15" hidden="false" customHeight="false" outlineLevel="0" collapsed="false">
      <c r="A71" s="31"/>
      <c r="B71" s="31"/>
      <c r="C71" s="31"/>
      <c r="D71" s="31"/>
      <c r="E71" s="31"/>
      <c r="F71" s="31"/>
      <c r="G71" s="31"/>
      <c r="H71" s="31"/>
      <c r="I71" s="31"/>
      <c r="J71" s="31"/>
      <c r="K71" s="31"/>
      <c r="L71" s="31"/>
      <c r="M71" s="31"/>
      <c r="N71" s="31"/>
      <c r="O71" s="31"/>
      <c r="P71" s="31"/>
      <c r="Q71" s="31"/>
      <c r="R71" s="31"/>
      <c r="S71" s="31"/>
      <c r="T71" s="31"/>
    </row>
    <row r="72" customFormat="false" ht="15" hidden="false" customHeight="false" outlineLevel="0" collapsed="false">
      <c r="A72" s="31"/>
      <c r="B72" s="31"/>
      <c r="C72" s="31"/>
      <c r="D72" s="31"/>
      <c r="E72" s="31"/>
      <c r="F72" s="31"/>
      <c r="G72" s="31"/>
      <c r="H72" s="31"/>
      <c r="I72" s="31"/>
      <c r="J72" s="31"/>
      <c r="K72" s="31"/>
      <c r="L72" s="31"/>
      <c r="M72" s="31"/>
      <c r="N72" s="31"/>
      <c r="O72" s="31"/>
      <c r="P72" s="31"/>
      <c r="Q72" s="31"/>
      <c r="R72" s="31"/>
      <c r="S72" s="31"/>
      <c r="T72" s="31"/>
    </row>
    <row r="73" customFormat="false" ht="15" hidden="false" customHeight="false" outlineLevel="0" collapsed="false">
      <c r="A73" s="31"/>
      <c r="B73" s="31"/>
      <c r="C73" s="31"/>
      <c r="D73" s="31"/>
      <c r="E73" s="31"/>
      <c r="F73" s="31"/>
      <c r="G73" s="31"/>
      <c r="H73" s="31"/>
      <c r="I73" s="31"/>
      <c r="J73" s="31"/>
      <c r="K73" s="31"/>
      <c r="L73" s="31"/>
      <c r="M73" s="31"/>
      <c r="N73" s="31"/>
      <c r="O73" s="31"/>
      <c r="P73" s="31"/>
      <c r="Q73" s="31"/>
      <c r="R73" s="31"/>
      <c r="S73" s="31"/>
      <c r="T73" s="31"/>
    </row>
    <row r="74" customFormat="false" ht="15" hidden="false" customHeight="false" outlineLevel="0" collapsed="false">
      <c r="A74" s="31"/>
      <c r="B74" s="31"/>
      <c r="C74" s="31"/>
      <c r="D74" s="31"/>
      <c r="E74" s="31"/>
      <c r="F74" s="31"/>
      <c r="G74" s="31"/>
      <c r="H74" s="31"/>
      <c r="I74" s="31"/>
      <c r="J74" s="31"/>
      <c r="K74" s="31"/>
      <c r="L74" s="31"/>
      <c r="M74" s="31"/>
      <c r="N74" s="31"/>
      <c r="O74" s="31"/>
      <c r="P74" s="31"/>
      <c r="Q74" s="31"/>
      <c r="R74" s="31"/>
      <c r="S74" s="31"/>
      <c r="T74" s="31"/>
    </row>
    <row r="75" customFormat="false" ht="15" hidden="false" customHeight="false" outlineLevel="0" collapsed="false">
      <c r="A75" s="31"/>
      <c r="B75" s="31"/>
      <c r="C75" s="31"/>
      <c r="D75" s="31"/>
      <c r="E75" s="31"/>
      <c r="F75" s="31"/>
      <c r="G75" s="31"/>
      <c r="H75" s="31"/>
      <c r="I75" s="31"/>
      <c r="J75" s="31"/>
      <c r="K75" s="31"/>
      <c r="L75" s="31"/>
      <c r="M75" s="31"/>
      <c r="N75" s="31"/>
      <c r="O75" s="31"/>
      <c r="P75" s="31"/>
      <c r="Q75" s="31"/>
      <c r="R75" s="31"/>
      <c r="S75" s="31"/>
      <c r="T75" s="31"/>
    </row>
    <row r="76" customFormat="false" ht="15" hidden="false" customHeight="false" outlineLevel="0" collapsed="false">
      <c r="A76" s="31"/>
      <c r="B76" s="31"/>
      <c r="C76" s="31"/>
      <c r="D76" s="31"/>
      <c r="E76" s="31"/>
      <c r="F76" s="31"/>
      <c r="G76" s="31"/>
      <c r="H76" s="31"/>
      <c r="I76" s="31"/>
      <c r="J76" s="31"/>
      <c r="K76" s="31"/>
      <c r="L76" s="31"/>
      <c r="M76" s="31"/>
      <c r="N76" s="31"/>
      <c r="O76" s="31"/>
      <c r="P76" s="31"/>
      <c r="Q76" s="31"/>
      <c r="R76" s="31"/>
      <c r="S76" s="31"/>
      <c r="T76" s="31"/>
    </row>
    <row r="77" customFormat="false" ht="15" hidden="false" customHeight="false" outlineLevel="0" collapsed="false">
      <c r="A77" s="31"/>
      <c r="B77" s="31"/>
      <c r="C77" s="31"/>
      <c r="D77" s="31"/>
      <c r="E77" s="31"/>
      <c r="F77" s="31"/>
      <c r="G77" s="31"/>
      <c r="H77" s="31"/>
      <c r="I77" s="31"/>
      <c r="J77" s="31"/>
      <c r="K77" s="31"/>
      <c r="L77" s="31"/>
      <c r="M77" s="31"/>
      <c r="N77" s="31"/>
      <c r="O77" s="31"/>
      <c r="P77" s="31"/>
      <c r="Q77" s="31"/>
      <c r="R77" s="31"/>
      <c r="S77" s="31"/>
      <c r="T77" s="31"/>
    </row>
    <row r="78" customFormat="false" ht="15" hidden="false" customHeight="false" outlineLevel="0" collapsed="false">
      <c r="A78" s="31"/>
      <c r="B78" s="31"/>
      <c r="C78" s="31"/>
      <c r="D78" s="31"/>
      <c r="E78" s="31"/>
      <c r="F78" s="31"/>
      <c r="G78" s="31"/>
      <c r="H78" s="31"/>
      <c r="I78" s="31"/>
      <c r="J78" s="31"/>
      <c r="K78" s="31"/>
      <c r="L78" s="31"/>
      <c r="M78" s="31"/>
      <c r="N78" s="31"/>
      <c r="O78" s="31"/>
      <c r="P78" s="31"/>
      <c r="Q78" s="31"/>
      <c r="R78" s="31"/>
      <c r="S78" s="31"/>
      <c r="T78" s="31"/>
    </row>
    <row r="79" customFormat="false" ht="15" hidden="false" customHeight="false" outlineLevel="0" collapsed="false">
      <c r="A79" s="31"/>
      <c r="B79" s="31"/>
      <c r="C79" s="31"/>
      <c r="D79" s="31"/>
      <c r="E79" s="31"/>
      <c r="F79" s="31"/>
      <c r="G79" s="31"/>
      <c r="H79" s="31"/>
      <c r="I79" s="31"/>
      <c r="J79" s="31"/>
      <c r="K79" s="31"/>
      <c r="L79" s="31"/>
      <c r="M79" s="31"/>
      <c r="N79" s="31"/>
      <c r="O79" s="31"/>
      <c r="P79" s="31"/>
      <c r="Q79" s="31"/>
      <c r="R79" s="31"/>
      <c r="S79" s="31"/>
      <c r="T79" s="31"/>
    </row>
    <row r="80" customFormat="false" ht="15" hidden="false" customHeight="false" outlineLevel="0" collapsed="false">
      <c r="A80" s="31"/>
      <c r="B80" s="31"/>
      <c r="C80" s="31"/>
      <c r="D80" s="31"/>
      <c r="E80" s="31"/>
      <c r="F80" s="31"/>
      <c r="G80" s="31"/>
      <c r="H80" s="31"/>
      <c r="I80" s="31"/>
      <c r="J80" s="31"/>
      <c r="K80" s="31"/>
      <c r="L80" s="31"/>
      <c r="M80" s="31"/>
      <c r="N80" s="31"/>
      <c r="O80" s="31"/>
      <c r="P80" s="31"/>
      <c r="Q80" s="31"/>
      <c r="R80" s="31"/>
      <c r="S80" s="31"/>
      <c r="T80" s="31"/>
    </row>
  </sheetData>
  <mergeCells count="3">
    <mergeCell ref="A1:O1"/>
    <mergeCell ref="A2:O2"/>
    <mergeCell ref="A4:O4"/>
  </mergeCells>
  <dataValidations count="6">
    <dataValidation allowBlank="false" errorStyle="stop" operator="between" showDropDown="false" showErrorMessage="false" showInputMessage="false" sqref="I8:I30" type="list">
      <formula1>"GROUNDED,ESTIMATED,ASSUMPTION_BOUND,CONTESTED,LEGACY_UNREVIEWED,INSUFFICIENT_GROUNDING,OUT_OF_SCOPE_WITH_RATIONALE"</formula1>
      <formula2>0</formula2>
    </dataValidation>
    <dataValidation allowBlank="false" errorStyle="stop" operator="between" showDropDown="false" showErrorMessage="false" showInputMessage="false" sqref="J8:J30" type="list">
      <formula1>"NONE,LOW,MEDIUM,HIGH,CRITICAL"</formula1>
      <formula2>0</formula2>
    </dataValidation>
    <dataValidation allowBlank="false" errorStyle="stop" operator="between" showDropDown="false" showErrorMessage="false" showInputMessage="false" sqref="L17:L30" type="list">
      <formula1>"UNREVIEWED,NEEDS_REVIEW,REVIEWED,EXPERT_REVIEWED"</formula1>
      <formula2>0</formula2>
    </dataValidation>
    <dataValidation allowBlank="false" errorStyle="stop" operator="between" showDropDown="false" showErrorMessage="false" showInputMessage="false" sqref="M8:M30" type="list">
      <formula1>"ALLOW,NARROW,ESCALATE,REFUSE,MONITOR_ONLY,SENSITIVITY_ONLY"</formula1>
      <formula2>0</formula2>
    </dataValidation>
    <dataValidation allowBlank="false" errorStyle="stop" operator="between" showDropDown="false" showErrorMessage="false" showInputMessage="false" sqref="N8:N30" type="list">
      <formula1>",CATEGORY_BOUNDARY_FAILURE,CATEGORY_REFERENCE_FAILURE,CATEGORY_SCOPE_FAILURE,CATEGORY_METRIC_MISMATCH,SEMANTIC_DRIFT_DETECTED,PRIMITIVE_CHALLENGE"</formula1>
      <formula2>0</formula2>
    </dataValidation>
    <dataValidation allowBlank="false" errorStyle="stop" operator="between" showDropDown="false" showErrorMessage="false" showInputMessage="false" sqref="L8:L16" type="list">
      <formula1>"READY,NEEDS_REVIEW,ESCALATE,APPROVED,REJECTED"</formula1>
      <formula2>0</formula2>
    </dataValidation>
  </dataValidation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tableParts>
    <tablePart r:id="rId1"/>
  </tablePart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K1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4" min="1" style="2" width="36"/>
    <col collapsed="false" customWidth="true" hidden="false" outlineLevel="0" max="5" min="5" style="2" width="24"/>
    <col collapsed="false" customWidth="true" hidden="false" outlineLevel="0" max="9" min="6" style="2" width="36"/>
    <col collapsed="false" customWidth="true" hidden="false" outlineLevel="0" max="10" min="10" style="2" width="24"/>
    <col collapsed="false" customWidth="true" hidden="false" outlineLevel="0" max="11" min="11" style="2" width="34"/>
  </cols>
  <sheetData>
    <row r="1" customFormat="false" ht="15" hidden="false" customHeight="true" outlineLevel="0" collapsed="false">
      <c r="A1" s="3" t="s">
        <v>1231</v>
      </c>
      <c r="B1" s="3"/>
      <c r="C1" s="3"/>
      <c r="D1" s="3"/>
      <c r="E1" s="3"/>
      <c r="F1" s="3"/>
      <c r="G1" s="3"/>
      <c r="H1" s="3"/>
      <c r="I1" s="3"/>
      <c r="J1" s="3"/>
      <c r="K1" s="3"/>
    </row>
    <row r="2" customFormat="false" ht="15" hidden="false" customHeight="true" outlineLevel="0" collapsed="false">
      <c r="A2" s="5"/>
      <c r="B2" s="5"/>
      <c r="C2" s="5"/>
      <c r="D2" s="5"/>
      <c r="E2" s="5"/>
      <c r="F2" s="5"/>
      <c r="G2" s="5"/>
      <c r="H2" s="5"/>
      <c r="I2" s="5"/>
      <c r="J2" s="5"/>
      <c r="K2" s="5"/>
    </row>
    <row r="3" customFormat="false" ht="15" hidden="false" customHeight="true" outlineLevel="0" collapsed="false">
      <c r="A3" s="56" t="s">
        <v>1232</v>
      </c>
      <c r="B3" s="56" t="s">
        <v>1233</v>
      </c>
      <c r="C3" s="56" t="s">
        <v>1234</v>
      </c>
      <c r="D3" s="56" t="s">
        <v>1063</v>
      </c>
      <c r="E3" s="56" t="s">
        <v>1064</v>
      </c>
      <c r="F3" s="56" t="s">
        <v>1235</v>
      </c>
      <c r="G3" s="56" t="s">
        <v>1236</v>
      </c>
      <c r="H3" s="56" t="s">
        <v>1065</v>
      </c>
      <c r="I3" s="56" t="s">
        <v>1060</v>
      </c>
      <c r="J3" s="56" t="s">
        <v>1237</v>
      </c>
      <c r="K3" s="56" t="s">
        <v>1238</v>
      </c>
    </row>
    <row r="4" customFormat="false" ht="15" hidden="false" customHeight="true" outlineLevel="0" collapsed="false">
      <c r="A4" s="5" t="s">
        <v>1239</v>
      </c>
      <c r="B4" s="5" t="s">
        <v>1240</v>
      </c>
      <c r="C4" s="5" t="s">
        <v>1241</v>
      </c>
      <c r="D4" s="5" t="s">
        <v>1242</v>
      </c>
      <c r="E4" s="5" t="s">
        <v>1243</v>
      </c>
      <c r="F4" s="5" t="s">
        <v>1244</v>
      </c>
      <c r="G4" s="5" t="s">
        <v>1245</v>
      </c>
      <c r="H4" s="5" t="s">
        <v>1246</v>
      </c>
      <c r="I4" s="5" t="s">
        <v>1247</v>
      </c>
      <c r="J4" s="5" t="s">
        <v>1248</v>
      </c>
      <c r="K4" s="5" t="s">
        <v>1249</v>
      </c>
    </row>
    <row r="5" customFormat="false" ht="15" hidden="false" customHeight="true" outlineLevel="0" collapsed="false">
      <c r="A5" s="5" t="s">
        <v>1250</v>
      </c>
      <c r="B5" s="5" t="s">
        <v>1251</v>
      </c>
      <c r="C5" s="5" t="s">
        <v>1252</v>
      </c>
      <c r="D5" s="5" t="s">
        <v>1253</v>
      </c>
      <c r="E5" s="5" t="s">
        <v>1254</v>
      </c>
      <c r="F5" s="5" t="s">
        <v>1255</v>
      </c>
      <c r="G5" s="5" t="s">
        <v>1256</v>
      </c>
      <c r="H5" s="5" t="s">
        <v>1257</v>
      </c>
      <c r="I5" s="5" t="s">
        <v>1123</v>
      </c>
      <c r="J5" s="5" t="s">
        <v>1258</v>
      </c>
      <c r="K5" s="5" t="s">
        <v>1259</v>
      </c>
    </row>
    <row r="6" customFormat="false" ht="15" hidden="false" customHeight="true" outlineLevel="0" collapsed="false">
      <c r="A6" s="5" t="s">
        <v>820</v>
      </c>
      <c r="B6" s="5" t="s">
        <v>1260</v>
      </c>
      <c r="C6" s="5" t="s">
        <v>1261</v>
      </c>
      <c r="D6" s="5" t="s">
        <v>1262</v>
      </c>
      <c r="E6" s="5" t="s">
        <v>1083</v>
      </c>
      <c r="F6" s="5" t="s">
        <v>1263</v>
      </c>
      <c r="G6" s="5" t="s">
        <v>1264</v>
      </c>
      <c r="H6" s="5" t="s">
        <v>1265</v>
      </c>
      <c r="I6" s="5" t="s">
        <v>1266</v>
      </c>
      <c r="J6" s="5" t="s">
        <v>1267</v>
      </c>
      <c r="K6" s="5" t="s">
        <v>1268</v>
      </c>
    </row>
    <row r="7" customFormat="false" ht="15" hidden="false" customHeight="true" outlineLevel="0" collapsed="false">
      <c r="A7" s="5" t="s">
        <v>1269</v>
      </c>
      <c r="B7" s="5" t="s">
        <v>1270</v>
      </c>
      <c r="C7" s="5" t="s">
        <v>1271</v>
      </c>
      <c r="D7" s="5" t="s">
        <v>1272</v>
      </c>
      <c r="E7" s="5" t="s">
        <v>1173</v>
      </c>
      <c r="F7" s="5" t="s">
        <v>1273</v>
      </c>
      <c r="G7" s="5" t="s">
        <v>1274</v>
      </c>
      <c r="H7" s="5" t="s">
        <v>1275</v>
      </c>
      <c r="I7" s="5" t="s">
        <v>1276</v>
      </c>
      <c r="J7" s="5" t="s">
        <v>1277</v>
      </c>
      <c r="K7" s="5" t="s">
        <v>1278</v>
      </c>
    </row>
    <row r="8" customFormat="false" ht="15" hidden="false" customHeight="true" outlineLevel="0" collapsed="false">
      <c r="A8" s="5" t="s">
        <v>1279</v>
      </c>
      <c r="B8" s="5" t="s">
        <v>1280</v>
      </c>
      <c r="C8" s="5" t="s">
        <v>1281</v>
      </c>
      <c r="D8" s="5" t="s">
        <v>1282</v>
      </c>
      <c r="E8" s="5" t="s">
        <v>1283</v>
      </c>
      <c r="F8" s="5" t="s">
        <v>1284</v>
      </c>
      <c r="G8" s="5" t="s">
        <v>1285</v>
      </c>
      <c r="H8" s="5" t="s">
        <v>1286</v>
      </c>
      <c r="I8" s="5" t="s">
        <v>1266</v>
      </c>
      <c r="J8" s="5" t="s">
        <v>132</v>
      </c>
      <c r="K8" s="5" t="s">
        <v>1287</v>
      </c>
    </row>
    <row r="9" customFormat="false" ht="15" hidden="false" customHeight="true" outlineLevel="0" collapsed="false">
      <c r="A9" s="5" t="s">
        <v>1288</v>
      </c>
      <c r="B9" s="5" t="s">
        <v>1289</v>
      </c>
      <c r="C9" s="5" t="s">
        <v>1290</v>
      </c>
      <c r="D9" s="5" t="s">
        <v>1291</v>
      </c>
      <c r="E9" s="5" t="s">
        <v>1292</v>
      </c>
      <c r="F9" s="5" t="s">
        <v>1293</v>
      </c>
      <c r="G9" s="5" t="s">
        <v>1294</v>
      </c>
      <c r="H9" s="5" t="s">
        <v>1295</v>
      </c>
      <c r="I9" s="5" t="s">
        <v>1296</v>
      </c>
      <c r="J9" s="5" t="s">
        <v>1297</v>
      </c>
      <c r="K9" s="5" t="s">
        <v>1298</v>
      </c>
    </row>
    <row r="10" customFormat="false" ht="15" hidden="false" customHeight="true" outlineLevel="0" collapsed="false">
      <c r="A10" s="5" t="s">
        <v>1299</v>
      </c>
      <c r="B10" s="5" t="s">
        <v>1300</v>
      </c>
      <c r="C10" s="5" t="s">
        <v>1301</v>
      </c>
      <c r="D10" s="5" t="s">
        <v>1302</v>
      </c>
      <c r="E10" s="5" t="s">
        <v>1303</v>
      </c>
      <c r="F10" s="5" t="s">
        <v>1304</v>
      </c>
      <c r="G10" s="5" t="s">
        <v>1305</v>
      </c>
      <c r="H10" s="5" t="s">
        <v>1306</v>
      </c>
      <c r="I10" s="5" t="s">
        <v>1307</v>
      </c>
      <c r="J10" s="5" t="s">
        <v>1308</v>
      </c>
      <c r="K10" s="5" t="s">
        <v>1014</v>
      </c>
    </row>
    <row r="11" customFormat="false" ht="15" hidden="false" customHeight="true" outlineLevel="0" collapsed="false">
      <c r="A11" s="5" t="s">
        <v>1309</v>
      </c>
      <c r="B11" s="5" t="s">
        <v>1310</v>
      </c>
      <c r="C11" s="5" t="s">
        <v>1311</v>
      </c>
      <c r="D11" s="5" t="s">
        <v>1312</v>
      </c>
      <c r="E11" s="5" t="s">
        <v>1313</v>
      </c>
      <c r="F11" s="5" t="s">
        <v>1314</v>
      </c>
      <c r="G11" s="5" t="s">
        <v>1315</v>
      </c>
      <c r="H11" s="5" t="s">
        <v>1316</v>
      </c>
      <c r="I11" s="5" t="s">
        <v>1266</v>
      </c>
      <c r="J11" s="5" t="s">
        <v>1317</v>
      </c>
      <c r="K11" s="5" t="s">
        <v>1318</v>
      </c>
    </row>
    <row r="12" customFormat="false" ht="15" hidden="false" customHeight="true" outlineLevel="0" collapsed="false">
      <c r="A12" s="5" t="s">
        <v>1319</v>
      </c>
      <c r="B12" s="5" t="s">
        <v>1320</v>
      </c>
      <c r="C12" s="5" t="s">
        <v>1321</v>
      </c>
      <c r="D12" s="5" t="s">
        <v>1322</v>
      </c>
      <c r="E12" s="5" t="s">
        <v>1125</v>
      </c>
      <c r="F12" s="5" t="s">
        <v>1323</v>
      </c>
      <c r="G12" s="5" t="s">
        <v>1324</v>
      </c>
      <c r="H12" s="5" t="s">
        <v>1325</v>
      </c>
      <c r="I12" s="5" t="s">
        <v>1326</v>
      </c>
      <c r="J12" s="5" t="s">
        <v>128</v>
      </c>
      <c r="K12" s="5" t="s">
        <v>1327</v>
      </c>
    </row>
    <row r="13" customFormat="false" ht="15" hidden="false" customHeight="true" outlineLevel="0" collapsed="false">
      <c r="A13" s="5" t="s">
        <v>1328</v>
      </c>
      <c r="B13" s="5" t="s">
        <v>1329</v>
      </c>
      <c r="C13" s="5" t="s">
        <v>1330</v>
      </c>
      <c r="D13" s="5" t="s">
        <v>1331</v>
      </c>
      <c r="E13" s="5" t="s">
        <v>1313</v>
      </c>
      <c r="F13" s="5" t="s">
        <v>1332</v>
      </c>
      <c r="G13" s="5" t="s">
        <v>1333</v>
      </c>
      <c r="H13" s="5" t="s">
        <v>1334</v>
      </c>
      <c r="I13" s="5" t="s">
        <v>1335</v>
      </c>
      <c r="J13" s="5" t="s">
        <v>1317</v>
      </c>
      <c r="K13" s="5" t="s">
        <v>1318</v>
      </c>
    </row>
    <row r="14" customFormat="false" ht="42" hidden="false" customHeight="true" outlineLevel="0" collapsed="false">
      <c r="A14" s="5" t="s">
        <v>1336</v>
      </c>
      <c r="B14" s="5" t="s">
        <v>1337</v>
      </c>
      <c r="C14" s="5" t="s">
        <v>1338</v>
      </c>
      <c r="D14" s="5" t="s">
        <v>1339</v>
      </c>
      <c r="E14" s="5" t="s">
        <v>1125</v>
      </c>
      <c r="F14" s="5" t="s">
        <v>1340</v>
      </c>
      <c r="G14" s="5" t="s">
        <v>1341</v>
      </c>
      <c r="H14" s="5" t="s">
        <v>1342</v>
      </c>
      <c r="I14" s="5" t="s">
        <v>1343</v>
      </c>
      <c r="J14" s="5" t="s">
        <v>1344</v>
      </c>
      <c r="K14" s="5" t="s">
        <v>1345</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1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5" topLeftCell="A6" activePane="bottomLeft" state="frozen"/>
      <selection pane="topLeft" activeCell="A1" activeCellId="0" sqref="A1"/>
      <selection pane="bottomLeft" activeCell="A1" activeCellId="0" sqref="A1"/>
    </sheetView>
  </sheetViews>
  <sheetFormatPr defaultColWidth="8.6796875" defaultRowHeight="15" customHeight="true" zeroHeight="false" outlineLevelRow="0" outlineLevelCol="0"/>
  <cols>
    <col collapsed="false" customWidth="true" hidden="false" outlineLevel="0" max="1" min="1" style="2" width="28"/>
    <col collapsed="false" customWidth="true" hidden="false" outlineLevel="0" max="2" min="2" style="2" width="60"/>
    <col collapsed="false" customWidth="true" hidden="false" outlineLevel="0" max="3" min="3" style="2" width="22"/>
    <col collapsed="false" customWidth="true" hidden="false" outlineLevel="0" max="4" min="4" style="2" width="60"/>
  </cols>
  <sheetData>
    <row r="1" customFormat="false" ht="24" hidden="false" customHeight="true" outlineLevel="0" collapsed="false">
      <c r="A1" s="58" t="s">
        <v>1346</v>
      </c>
      <c r="B1" s="58" t="s">
        <v>1347</v>
      </c>
      <c r="C1" s="58"/>
      <c r="D1" s="58"/>
    </row>
    <row r="2" customFormat="false" ht="24" hidden="false" customHeight="true" outlineLevel="0" collapsed="false">
      <c r="A2" s="59" t="s">
        <v>1348</v>
      </c>
      <c r="B2" s="59" t="s">
        <v>1349</v>
      </c>
      <c r="C2" s="59"/>
      <c r="D2" s="59"/>
    </row>
    <row r="3" customFormat="false" ht="24" hidden="false" customHeight="true" outlineLevel="0" collapsed="false">
      <c r="A3" s="59" t="s">
        <v>90</v>
      </c>
      <c r="B3" s="59" t="s">
        <v>1350</v>
      </c>
      <c r="C3" s="59"/>
      <c r="D3" s="59"/>
    </row>
    <row r="4" customFormat="false" ht="24" hidden="false" customHeight="true" outlineLevel="0" collapsed="false">
      <c r="A4" s="59"/>
      <c r="B4" s="59"/>
      <c r="C4" s="59"/>
      <c r="D4" s="59"/>
    </row>
    <row r="5" customFormat="false" ht="36" hidden="false" customHeight="true" outlineLevel="0" collapsed="false">
      <c r="A5" s="60" t="s">
        <v>241</v>
      </c>
      <c r="B5" s="60" t="s">
        <v>242</v>
      </c>
      <c r="C5" s="60" t="s">
        <v>244</v>
      </c>
      <c r="D5" s="60" t="s">
        <v>979</v>
      </c>
    </row>
    <row r="6" customFormat="false" ht="36" hidden="false" customHeight="true" outlineLevel="0" collapsed="false">
      <c r="A6" s="59" t="s">
        <v>1351</v>
      </c>
      <c r="B6" s="59" t="s">
        <v>1352</v>
      </c>
      <c r="C6" s="59" t="s">
        <v>1353</v>
      </c>
      <c r="D6" s="59" t="s">
        <v>1354</v>
      </c>
    </row>
    <row r="7" customFormat="false" ht="36" hidden="false" customHeight="true" outlineLevel="0" collapsed="false">
      <c r="A7" s="59" t="s">
        <v>1355</v>
      </c>
      <c r="B7" s="59" t="s">
        <v>1356</v>
      </c>
      <c r="C7" s="59" t="s">
        <v>982</v>
      </c>
      <c r="D7" s="59" t="s">
        <v>1357</v>
      </c>
    </row>
    <row r="8" customFormat="false" ht="36" hidden="false" customHeight="true" outlineLevel="0" collapsed="false">
      <c r="A8" s="59" t="s">
        <v>1358</v>
      </c>
      <c r="B8" s="59" t="s">
        <v>1359</v>
      </c>
      <c r="C8" s="59" t="s">
        <v>986</v>
      </c>
      <c r="D8" s="59" t="s">
        <v>1360</v>
      </c>
    </row>
    <row r="9" customFormat="false" ht="36" hidden="false" customHeight="true" outlineLevel="0" collapsed="false">
      <c r="A9" s="59" t="s">
        <v>1361</v>
      </c>
      <c r="B9" s="59" t="s">
        <v>1362</v>
      </c>
      <c r="C9" s="59" t="s">
        <v>986</v>
      </c>
      <c r="D9" s="59" t="s">
        <v>1363</v>
      </c>
    </row>
    <row r="10" customFormat="false" ht="36" hidden="false" customHeight="true" outlineLevel="0" collapsed="false">
      <c r="A10" s="59" t="s">
        <v>1364</v>
      </c>
      <c r="B10" s="59" t="s">
        <v>1365</v>
      </c>
      <c r="C10" s="59" t="s">
        <v>986</v>
      </c>
      <c r="D10" s="59" t="s">
        <v>1366</v>
      </c>
    </row>
    <row r="11" customFormat="false" ht="36" hidden="false" customHeight="true" outlineLevel="0" collapsed="false">
      <c r="A11" s="59" t="s">
        <v>1367</v>
      </c>
      <c r="B11" s="59" t="s">
        <v>1368</v>
      </c>
      <c r="C11" s="59" t="s">
        <v>982</v>
      </c>
      <c r="D11" s="59" t="s">
        <v>1369</v>
      </c>
    </row>
    <row r="12" customFormat="false" ht="36" hidden="false" customHeight="true" outlineLevel="0" collapsed="false">
      <c r="A12" s="59" t="s">
        <v>1370</v>
      </c>
      <c r="B12" s="59" t="s">
        <v>1371</v>
      </c>
      <c r="C12" s="59" t="s">
        <v>1372</v>
      </c>
      <c r="D12" s="59" t="s">
        <v>1373</v>
      </c>
    </row>
    <row r="13" customFormat="false" ht="36" hidden="false" customHeight="true" outlineLevel="0" collapsed="false">
      <c r="A13" s="59" t="s">
        <v>1374</v>
      </c>
      <c r="B13" s="59" t="s">
        <v>1353</v>
      </c>
      <c r="C13" s="59"/>
      <c r="D13" s="59" t="s">
        <v>1375</v>
      </c>
    </row>
    <row r="14" customFormat="false" ht="36" hidden="false" customHeight="true" outlineLevel="0" collapsed="false">
      <c r="A14" s="59" t="s">
        <v>1376</v>
      </c>
      <c r="B14" s="59" t="s">
        <v>1377</v>
      </c>
      <c r="C14" s="59"/>
      <c r="D14" s="59" t="s">
        <v>1378</v>
      </c>
    </row>
    <row r="15" customFormat="false" ht="36" hidden="false" customHeight="true" outlineLevel="0" collapsed="false">
      <c r="A15" s="59" t="s">
        <v>1379</v>
      </c>
      <c r="B15" s="59" t="s">
        <v>1380</v>
      </c>
      <c r="C15" s="59"/>
      <c r="D15" s="59" t="s">
        <v>1381</v>
      </c>
    </row>
    <row r="16" customFormat="false" ht="36" hidden="false" customHeight="true" outlineLevel="0" collapsed="false">
      <c r="A16" s="59" t="s">
        <v>1382</v>
      </c>
      <c r="B16" s="59" t="s">
        <v>1383</v>
      </c>
      <c r="C16" s="59"/>
      <c r="D16" s="59" t="s">
        <v>1384</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1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1" min="1" style="2" width="31"/>
    <col collapsed="false" customWidth="true" hidden="false" outlineLevel="0" max="3" min="2" style="2" width="36"/>
    <col collapsed="false" customWidth="true" hidden="false" outlineLevel="0" max="4" min="4" style="2" width="25"/>
  </cols>
  <sheetData>
    <row r="1" customFormat="false" ht="15" hidden="false" customHeight="true" outlineLevel="0" collapsed="false">
      <c r="A1" s="3" t="s">
        <v>1385</v>
      </c>
      <c r="B1" s="3"/>
      <c r="C1" s="3"/>
      <c r="D1" s="3"/>
    </row>
    <row r="2" customFormat="false" ht="15" hidden="false" customHeight="true" outlineLevel="0" collapsed="false">
      <c r="A2" s="5"/>
      <c r="B2" s="5"/>
      <c r="C2" s="5"/>
      <c r="D2" s="5"/>
    </row>
    <row r="3" customFormat="false" ht="15" hidden="false" customHeight="true" outlineLevel="0" collapsed="false">
      <c r="A3" s="56" t="s">
        <v>1386</v>
      </c>
      <c r="B3" s="56" t="s">
        <v>1387</v>
      </c>
      <c r="C3" s="56" t="s">
        <v>1388</v>
      </c>
      <c r="D3" s="56" t="s">
        <v>1389</v>
      </c>
    </row>
    <row r="4" customFormat="false" ht="15" hidden="false" customHeight="true" outlineLevel="0" collapsed="false">
      <c r="A4" s="5" t="s">
        <v>1390</v>
      </c>
      <c r="B4" s="5" t="s">
        <v>1391</v>
      </c>
      <c r="C4" s="5" t="s">
        <v>1392</v>
      </c>
      <c r="D4" s="5" t="s">
        <v>1393</v>
      </c>
    </row>
    <row r="5" customFormat="false" ht="15" hidden="false" customHeight="true" outlineLevel="0" collapsed="false">
      <c r="A5" s="5" t="s">
        <v>1394</v>
      </c>
      <c r="B5" s="5" t="s">
        <v>1395</v>
      </c>
      <c r="C5" s="5" t="s">
        <v>1396</v>
      </c>
      <c r="D5" s="5" t="s">
        <v>1397</v>
      </c>
    </row>
    <row r="6" customFormat="false" ht="15" hidden="false" customHeight="true" outlineLevel="0" collapsed="false">
      <c r="A6" s="5" t="s">
        <v>1398</v>
      </c>
      <c r="B6" s="5" t="s">
        <v>1399</v>
      </c>
      <c r="C6" s="5" t="s">
        <v>1400</v>
      </c>
      <c r="D6" s="5" t="s">
        <v>1401</v>
      </c>
    </row>
    <row r="7" customFormat="false" ht="15" hidden="false" customHeight="true" outlineLevel="0" collapsed="false">
      <c r="A7" s="5" t="s">
        <v>1402</v>
      </c>
      <c r="B7" s="5" t="s">
        <v>1403</v>
      </c>
      <c r="C7" s="5" t="s">
        <v>1404</v>
      </c>
      <c r="D7" s="5" t="s">
        <v>1405</v>
      </c>
    </row>
    <row r="8" customFormat="false" ht="15" hidden="false" customHeight="true" outlineLevel="0" collapsed="false">
      <c r="A8" s="5" t="s">
        <v>1406</v>
      </c>
      <c r="B8" s="5" t="s">
        <v>1407</v>
      </c>
      <c r="C8" s="5" t="s">
        <v>1408</v>
      </c>
      <c r="D8" s="5" t="s">
        <v>1409</v>
      </c>
    </row>
    <row r="9" customFormat="false" ht="15" hidden="false" customHeight="true" outlineLevel="0" collapsed="false">
      <c r="A9" s="5" t="s">
        <v>1410</v>
      </c>
      <c r="B9" s="5" t="s">
        <v>1411</v>
      </c>
      <c r="C9" s="5" t="s">
        <v>1412</v>
      </c>
      <c r="D9" s="5" t="s">
        <v>1413</v>
      </c>
    </row>
    <row r="10" customFormat="false" ht="15" hidden="false" customHeight="true" outlineLevel="0" collapsed="false">
      <c r="A10" s="5" t="s">
        <v>1414</v>
      </c>
      <c r="B10" s="5" t="s">
        <v>1415</v>
      </c>
      <c r="C10" s="5" t="s">
        <v>1416</v>
      </c>
      <c r="D10" s="5" t="s">
        <v>1417</v>
      </c>
    </row>
    <row r="11" customFormat="false" ht="15" hidden="false" customHeight="true" outlineLevel="0" collapsed="false">
      <c r="A11" s="5" t="s">
        <v>1418</v>
      </c>
      <c r="B11" s="5" t="s">
        <v>1419</v>
      </c>
      <c r="C11" s="5" t="s">
        <v>1420</v>
      </c>
      <c r="D11" s="5" t="s">
        <v>1421</v>
      </c>
    </row>
    <row r="12" customFormat="false" ht="15" hidden="false" customHeight="true" outlineLevel="0" collapsed="false">
      <c r="A12" s="5" t="s">
        <v>1422</v>
      </c>
      <c r="B12" s="5" t="s">
        <v>1423</v>
      </c>
      <c r="C12" s="5" t="s">
        <v>1424</v>
      </c>
      <c r="D12" s="5" t="s">
        <v>1425</v>
      </c>
    </row>
    <row r="13" customFormat="false" ht="15" hidden="false" customHeight="true" outlineLevel="0" collapsed="false">
      <c r="A13" s="5" t="s">
        <v>1426</v>
      </c>
      <c r="B13" s="5" t="s">
        <v>1427</v>
      </c>
      <c r="C13" s="5" t="s">
        <v>1428</v>
      </c>
      <c r="D13" s="5" t="s">
        <v>1429</v>
      </c>
    </row>
    <row r="14" customFormat="false" ht="15" hidden="false" customHeight="true" outlineLevel="0" collapsed="false">
      <c r="A14" s="5" t="s">
        <v>1430</v>
      </c>
      <c r="B14" s="5" t="s">
        <v>1431</v>
      </c>
      <c r="C14" s="5" t="s">
        <v>1432</v>
      </c>
      <c r="D14" s="5" t="s">
        <v>1433</v>
      </c>
    </row>
    <row r="15" customFormat="false" ht="15" hidden="false" customHeight="true" outlineLevel="0" collapsed="false">
      <c r="A15" s="5" t="s">
        <v>1434</v>
      </c>
      <c r="B15" s="5" t="s">
        <v>1435</v>
      </c>
      <c r="C15" s="5" t="s">
        <v>1436</v>
      </c>
      <c r="D15" s="5" t="s">
        <v>1437</v>
      </c>
    </row>
    <row r="16" customFormat="false" ht="15" hidden="false" customHeight="true" outlineLevel="0" collapsed="false">
      <c r="A16" s="5" t="s">
        <v>1438</v>
      </c>
      <c r="B16" s="5" t="s">
        <v>1439</v>
      </c>
      <c r="C16" s="5" t="s">
        <v>1440</v>
      </c>
      <c r="D16" s="5" t="s">
        <v>1441</v>
      </c>
    </row>
    <row r="17" customFormat="false" ht="15" hidden="false" customHeight="true" outlineLevel="0" collapsed="false">
      <c r="A17" s="5" t="s">
        <v>1442</v>
      </c>
      <c r="B17" s="5" t="s">
        <v>1443</v>
      </c>
      <c r="C17" s="5" t="s">
        <v>1444</v>
      </c>
      <c r="D17" s="5" t="s">
        <v>1445</v>
      </c>
    </row>
    <row r="18" customFormat="false" ht="36" hidden="false" customHeight="true" outlineLevel="0" collapsed="false">
      <c r="A18" s="5" t="s">
        <v>1446</v>
      </c>
      <c r="B18" s="5" t="s">
        <v>1447</v>
      </c>
      <c r="C18" s="5" t="s">
        <v>1448</v>
      </c>
      <c r="D18" s="5" t="s">
        <v>1449</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2" min="1" style="2" width="36"/>
    <col collapsed="false" customWidth="true" hidden="false" outlineLevel="0" max="3" min="3" style="2" width="18"/>
    <col collapsed="false" customWidth="true" hidden="false" outlineLevel="0" max="4" min="4" style="2" width="36"/>
  </cols>
  <sheetData>
    <row r="1" customFormat="false" ht="33.75" hidden="false" customHeight="true" outlineLevel="0" collapsed="false">
      <c r="A1" s="61" t="s">
        <v>1450</v>
      </c>
      <c r="B1" s="61"/>
      <c r="C1" s="61"/>
      <c r="D1" s="61"/>
    </row>
    <row r="2" customFormat="false" ht="33.75" hidden="false" customHeight="true" outlineLevel="0" collapsed="false">
      <c r="A2" s="62" t="s">
        <v>1451</v>
      </c>
      <c r="B2" s="63" t="s">
        <v>115</v>
      </c>
      <c r="C2" s="62" t="s">
        <v>119</v>
      </c>
      <c r="D2" s="63" t="s">
        <v>120</v>
      </c>
    </row>
    <row r="3" customFormat="false" ht="33.75" hidden="false" customHeight="true" outlineLevel="0" collapsed="false">
      <c r="A3" s="62" t="s">
        <v>1233</v>
      </c>
      <c r="B3" s="63" t="s">
        <v>1452</v>
      </c>
      <c r="C3" s="63"/>
      <c r="D3" s="63"/>
    </row>
    <row r="4" customFormat="false" ht="33.75" hidden="false" customHeight="true" outlineLevel="0" collapsed="false">
      <c r="A4" s="62" t="s">
        <v>329</v>
      </c>
      <c r="B4" s="63" t="s">
        <v>1453</v>
      </c>
      <c r="C4" s="63"/>
      <c r="D4" s="63"/>
    </row>
    <row r="5" customFormat="false" ht="33.75" hidden="false" customHeight="true" outlineLevel="0" collapsed="false">
      <c r="A5" s="62" t="s">
        <v>1454</v>
      </c>
      <c r="B5" s="63" t="s">
        <v>1455</v>
      </c>
      <c r="C5" s="63"/>
      <c r="D5" s="63"/>
    </row>
    <row r="6" customFormat="false" ht="33.75" hidden="false" customHeight="true" outlineLevel="0" collapsed="false">
      <c r="A6" s="62" t="s">
        <v>1456</v>
      </c>
      <c r="B6" s="63" t="s">
        <v>1457</v>
      </c>
      <c r="C6" s="63"/>
      <c r="D6" s="63"/>
    </row>
  </sheetData>
  <mergeCells count="1">
    <mergeCell ref="A1:D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T8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1" width="36"/>
    <col collapsed="false" customWidth="true" hidden="false" outlineLevel="0" max="2" min="2" style="1" width="29"/>
    <col collapsed="false" customWidth="true" hidden="false" outlineLevel="0" max="3" min="3" style="1" width="15"/>
    <col collapsed="false" customWidth="true" hidden="false" outlineLevel="0" max="5" min="4" style="1" width="36"/>
    <col collapsed="false" customWidth="true" hidden="false" outlineLevel="0" max="7" min="6" style="1" width="30"/>
    <col collapsed="false" customWidth="true" hidden="false" outlineLevel="0" max="9" min="8" style="1" width="36"/>
    <col collapsed="false" customWidth="true" hidden="false" outlineLevel="0" max="10" min="10" style="2" width="10"/>
  </cols>
  <sheetData>
    <row r="1" customFormat="false" ht="14.25" hidden="false" customHeight="true" outlineLevel="0" collapsed="false">
      <c r="A1" s="3" t="s">
        <v>1458</v>
      </c>
      <c r="B1" s="3"/>
      <c r="C1" s="3"/>
      <c r="D1" s="3"/>
      <c r="E1" s="3"/>
      <c r="F1" s="3"/>
      <c r="G1" s="3"/>
      <c r="H1" s="3"/>
      <c r="I1" s="3"/>
      <c r="J1" s="3"/>
      <c r="K1" s="31"/>
      <c r="L1" s="31"/>
      <c r="M1" s="31"/>
      <c r="N1" s="31"/>
      <c r="O1" s="31"/>
      <c r="P1" s="31"/>
      <c r="Q1" s="31"/>
      <c r="R1" s="31"/>
      <c r="S1" s="31"/>
      <c r="T1" s="31"/>
    </row>
    <row r="2" customFormat="false" ht="13.5" hidden="false" customHeight="true" outlineLevel="0" collapsed="false">
      <c r="A2" s="5"/>
      <c r="B2" s="5"/>
      <c r="C2" s="5"/>
      <c r="D2" s="5"/>
      <c r="E2" s="5"/>
      <c r="F2" s="5"/>
      <c r="G2" s="5"/>
      <c r="H2" s="5"/>
      <c r="I2" s="5"/>
      <c r="J2" s="5"/>
      <c r="K2" s="31"/>
      <c r="L2" s="31"/>
      <c r="M2" s="31"/>
      <c r="N2" s="31"/>
      <c r="O2" s="31"/>
      <c r="P2" s="31"/>
      <c r="Q2" s="31"/>
      <c r="R2" s="31"/>
      <c r="S2" s="31"/>
      <c r="T2" s="31"/>
    </row>
    <row r="3" customFormat="false" ht="14.25" hidden="false" customHeight="true" outlineLevel="0" collapsed="false">
      <c r="A3" s="7" t="s">
        <v>1459</v>
      </c>
      <c r="B3" s="5"/>
      <c r="C3" s="5"/>
      <c r="D3" s="5"/>
      <c r="E3" s="5"/>
      <c r="F3" s="5"/>
      <c r="G3" s="5"/>
      <c r="H3" s="5"/>
      <c r="I3" s="5"/>
      <c r="J3" s="5"/>
      <c r="K3" s="31"/>
      <c r="L3" s="31"/>
      <c r="M3" s="31"/>
      <c r="N3" s="31"/>
      <c r="O3" s="31"/>
      <c r="P3" s="31"/>
      <c r="Q3" s="31"/>
      <c r="R3" s="31"/>
      <c r="S3" s="31"/>
      <c r="T3" s="31"/>
    </row>
    <row r="4" customFormat="false" ht="14.25" hidden="false" customHeight="true" outlineLevel="0" collapsed="false">
      <c r="A4" s="7" t="s">
        <v>1460</v>
      </c>
      <c r="B4" s="5"/>
      <c r="C4" s="5"/>
      <c r="D4" s="5"/>
      <c r="E4" s="5"/>
      <c r="F4" s="5"/>
      <c r="G4" s="5"/>
      <c r="H4" s="5"/>
      <c r="I4" s="5"/>
      <c r="J4" s="5"/>
      <c r="K4" s="31"/>
      <c r="L4" s="31"/>
      <c r="M4" s="31"/>
      <c r="N4" s="31"/>
      <c r="O4" s="31"/>
      <c r="P4" s="31"/>
      <c r="Q4" s="31"/>
      <c r="R4" s="31"/>
      <c r="S4" s="31"/>
      <c r="T4" s="31"/>
    </row>
    <row r="5" customFormat="false" ht="13.5" hidden="false" customHeight="true" outlineLevel="0" collapsed="false">
      <c r="A5" s="7" t="s">
        <v>1461</v>
      </c>
      <c r="B5" s="5"/>
      <c r="C5" s="5"/>
      <c r="D5" s="5"/>
      <c r="E5" s="5"/>
      <c r="F5" s="5"/>
      <c r="G5" s="5"/>
      <c r="H5" s="5"/>
      <c r="I5" s="5"/>
      <c r="J5" s="5"/>
      <c r="K5" s="31"/>
      <c r="L5" s="31"/>
      <c r="M5" s="31"/>
      <c r="N5" s="31"/>
      <c r="O5" s="31"/>
      <c r="P5" s="31"/>
      <c r="Q5" s="31"/>
      <c r="R5" s="31"/>
      <c r="S5" s="31"/>
      <c r="T5" s="31"/>
    </row>
    <row r="6" customFormat="false" ht="14.25" hidden="false" customHeight="true" outlineLevel="0" collapsed="false">
      <c r="A6" s="23" t="s">
        <v>1462</v>
      </c>
      <c r="B6" s="5"/>
      <c r="C6" s="5"/>
      <c r="D6" s="5"/>
      <c r="E6" s="5"/>
      <c r="F6" s="5"/>
      <c r="G6" s="5"/>
      <c r="H6" s="5" t="s">
        <v>1463</v>
      </c>
      <c r="I6" s="5"/>
      <c r="J6" s="5"/>
      <c r="K6" s="31"/>
      <c r="L6" s="31"/>
      <c r="M6" s="31"/>
      <c r="N6" s="31"/>
      <c r="O6" s="31"/>
      <c r="P6" s="31"/>
      <c r="Q6" s="31"/>
      <c r="R6" s="31"/>
      <c r="S6" s="31"/>
      <c r="T6" s="31"/>
    </row>
    <row r="7" customFormat="false" ht="14.25" hidden="false" customHeight="true" outlineLevel="0" collapsed="false">
      <c r="A7" s="10" t="s">
        <v>171</v>
      </c>
      <c r="B7" s="10" t="s">
        <v>1464</v>
      </c>
      <c r="C7" s="10" t="s">
        <v>173</v>
      </c>
      <c r="D7" s="10" t="s">
        <v>1465</v>
      </c>
      <c r="E7" s="10" t="s">
        <v>1466</v>
      </c>
      <c r="F7" s="10" t="s">
        <v>1467</v>
      </c>
      <c r="G7" s="10" t="s">
        <v>1468</v>
      </c>
      <c r="H7" s="7" t="s">
        <v>1469</v>
      </c>
      <c r="I7" s="7" t="s">
        <v>1470</v>
      </c>
      <c r="J7" s="5"/>
      <c r="K7" s="31"/>
      <c r="L7" s="31"/>
      <c r="M7" s="31"/>
      <c r="N7" s="31"/>
      <c r="O7" s="31"/>
      <c r="P7" s="31"/>
      <c r="Q7" s="31"/>
      <c r="R7" s="31"/>
      <c r="S7" s="31"/>
      <c r="T7" s="31"/>
    </row>
    <row r="8" customFormat="false" ht="14.25" hidden="false" customHeight="true" outlineLevel="0" collapsed="false">
      <c r="A8" s="7" t="s">
        <v>174</v>
      </c>
      <c r="B8" s="7" t="n">
        <v>1</v>
      </c>
      <c r="C8" s="7" t="n">
        <v>-0.9</v>
      </c>
      <c r="D8" s="24" t="n">
        <f aca="false">SUMPRODUCT(MIN((Rights_Coverage_View!$B$2:$B$71=$A8)*Rights_Coverage_View!$M$2:$M$71+(Rights_Coverage_View!$B$2:$B$71&lt;&gt;$A8)*1E+099))</f>
        <v>0</v>
      </c>
      <c r="E8" s="24" t="n">
        <f aca="false">SUMPRODUCT(MIN((Rights_Coverage_View!$B$2:$B$71=$A8)*Rights_Coverage_View!$N$2:$N$71+(Rights_Coverage_View!$B$2:$B$71&lt;&gt;$A8)*1E+099))</f>
        <v>0</v>
      </c>
      <c r="F8" s="26" t="str">
        <f aca="false">IF(D8&gt;=$C8,"PASS","FAIL")</f>
        <v>PASS</v>
      </c>
      <c r="G8" s="26" t="str">
        <f aca="false">IF(E8&gt;=$C8,"PASS","FAIL")</f>
        <v>PASS</v>
      </c>
      <c r="H8" s="7" t="str">
        <f aca="false">IF(OR($A8="",$D8="",$D8&gt;=0),"",IFERROR("Rights_Coverage_View!H"&amp;MATCH($A8&amp;"|"&amp;ROUND($D8*1000000000000,0),Rights_Coverage_View!$O$2:$O$100,0)+1,""))</f>
        <v/>
      </c>
      <c r="I8" s="7" t="str">
        <f aca="false">IF(OR($A8="",$E8="",$E8&gt;=0),"",IFERROR("Rights_Coverage_View!I"&amp;MATCH($A8&amp;"|"&amp;ROUND($E8*1000000000000,0),Rights_Coverage_View!$P$2:$P$100,0)+1,""))</f>
        <v/>
      </c>
      <c r="J8" s="5"/>
      <c r="K8" s="31"/>
      <c r="L8" s="31"/>
      <c r="M8" s="31"/>
      <c r="N8" s="31"/>
      <c r="O8" s="31"/>
      <c r="P8" s="31"/>
      <c r="Q8" s="31"/>
      <c r="R8" s="31"/>
      <c r="S8" s="31"/>
      <c r="T8" s="31"/>
    </row>
    <row r="9" customFormat="false" ht="14.25" hidden="false" customHeight="true" outlineLevel="0" collapsed="false">
      <c r="A9" s="7" t="s">
        <v>175</v>
      </c>
      <c r="B9" s="7" t="n">
        <v>2</v>
      </c>
      <c r="C9" s="7" t="n">
        <v>-0.7</v>
      </c>
      <c r="D9" s="24" t="n">
        <f aca="false">SUMPRODUCT(MIN((Rights_Coverage_View!$B$2:$B$71=$A9)*Rights_Coverage_View!$M$2:$M$71+(Rights_Coverage_View!$B$2:$B$71&lt;&gt;$A9)*1E+099))</f>
        <v>0</v>
      </c>
      <c r="E9" s="24" t="n">
        <f aca="false">SUMPRODUCT(MIN((Rights_Coverage_View!$B$2:$B$71=$A9)*Rights_Coverage_View!$N$2:$N$71+(Rights_Coverage_View!$B$2:$B$71&lt;&gt;$A9)*1E+099))</f>
        <v>0</v>
      </c>
      <c r="F9" s="26" t="str">
        <f aca="false">IF(D9&gt;=$C9,"PASS","FAIL")</f>
        <v>PASS</v>
      </c>
      <c r="G9" s="26" t="str">
        <f aca="false">IF(E9&gt;=$C9,"PASS","FAIL")</f>
        <v>PASS</v>
      </c>
      <c r="H9" s="7" t="str">
        <f aca="false">IF(OR($A9="",$D9="",$D9&gt;=0),"",IFERROR("Rights_Coverage_View!H"&amp;MATCH($A9&amp;"|"&amp;ROUND($D9*1000000000000,0),Rights_Coverage_View!$O$2:$O$100,0)+1,""))</f>
        <v/>
      </c>
      <c r="I9" s="7" t="str">
        <f aca="false">IF(OR($A9="",$E9="",$E9&gt;=0),"",IFERROR("Rights_Coverage_View!I"&amp;MATCH($A9&amp;"|"&amp;ROUND($E9*1000000000000,0),Rights_Coverage_View!$P$2:$P$100,0)+1,""))</f>
        <v/>
      </c>
      <c r="J9" s="5"/>
      <c r="K9" s="31"/>
      <c r="L9" s="31"/>
      <c r="M9" s="31"/>
      <c r="N9" s="31"/>
      <c r="O9" s="31"/>
      <c r="P9" s="31"/>
      <c r="Q9" s="31"/>
      <c r="R9" s="31"/>
      <c r="S9" s="31"/>
      <c r="T9" s="31"/>
    </row>
    <row r="10" customFormat="false" ht="14.25" hidden="false" customHeight="true" outlineLevel="0" collapsed="false">
      <c r="A10" s="7" t="s">
        <v>176</v>
      </c>
      <c r="B10" s="7" t="n">
        <v>3</v>
      </c>
      <c r="C10" s="7" t="n">
        <v>-0.65</v>
      </c>
      <c r="D10" s="24" t="n">
        <f aca="false">SUMPRODUCT(MIN((Rights_Coverage_View!$B$2:$B$71=$A10)*Rights_Coverage_View!$M$2:$M$71+(Rights_Coverage_View!$B$2:$B$71&lt;&gt;$A10)*1E+099))</f>
        <v>-0.15</v>
      </c>
      <c r="E10" s="24" t="n">
        <f aca="false">SUMPRODUCT(MIN((Rights_Coverage_View!$B$2:$B$71=$A10)*Rights_Coverage_View!$N$2:$N$71+(Rights_Coverage_View!$B$2:$B$71&lt;&gt;$A10)*1E+099))</f>
        <v>-0.15</v>
      </c>
      <c r="F10" s="26" t="str">
        <f aca="false">IF(D10&gt;=$C10,"PASS","FAIL")</f>
        <v>PASS</v>
      </c>
      <c r="G10" s="26" t="str">
        <f aca="false">IF(E10&gt;=$C10,"PASS","FAIL")</f>
        <v>PASS</v>
      </c>
      <c r="H10" s="7" t="str">
        <f aca="false">IF(OR($A10="",$D10="",$D10&gt;=0),"",IFERROR("Rights_Coverage_View!H"&amp;MATCH($A10&amp;"|"&amp;ROUND($D10*1000000000000,0),Rights_Coverage_View!$O$2:$O$100,0)+1,""))</f>
        <v>Rights_Coverage_View!H23</v>
      </c>
      <c r="I10" s="7" t="str">
        <f aca="false">IF(OR($A10="",$E10="",$E10&gt;=0),"",IFERROR("Rights_Coverage_View!I"&amp;MATCH($A10&amp;"|"&amp;ROUND($E10*1000000000000,0),Rights_Coverage_View!$P$2:$P$100,0)+1,""))</f>
        <v>Rights_Coverage_View!I17</v>
      </c>
      <c r="J10" s="5"/>
      <c r="K10" s="31"/>
      <c r="L10" s="31"/>
      <c r="M10" s="31"/>
      <c r="N10" s="31"/>
      <c r="O10" s="31"/>
      <c r="P10" s="31"/>
      <c r="Q10" s="31"/>
      <c r="R10" s="31"/>
      <c r="S10" s="31"/>
      <c r="T10" s="31"/>
    </row>
    <row r="11" customFormat="false" ht="14.25" hidden="false" customHeight="true" outlineLevel="0" collapsed="false">
      <c r="A11" s="7" t="s">
        <v>177</v>
      </c>
      <c r="B11" s="7" t="n">
        <v>4</v>
      </c>
      <c r="C11" s="7" t="n">
        <v>-0.5</v>
      </c>
      <c r="D11" s="24" t="n">
        <f aca="false">SUMPRODUCT(MIN((Rights_Coverage_View!$B$2:$B$71=$A11)*Rights_Coverage_View!$M$2:$M$71+(Rights_Coverage_View!$B$2:$B$71&lt;&gt;$A11)*1E+099))</f>
        <v>-0.3</v>
      </c>
      <c r="E11" s="24" t="n">
        <f aca="false">SUMPRODUCT(MIN((Rights_Coverage_View!$B$2:$B$71=$A11)*Rights_Coverage_View!$N$2:$N$71+(Rights_Coverage_View!$B$2:$B$71&lt;&gt;$A11)*1E+099))</f>
        <v>-0.12</v>
      </c>
      <c r="F11" s="26" t="str">
        <f aca="false">IF(D11&gt;=$C11,"PASS","FAIL")</f>
        <v>PASS</v>
      </c>
      <c r="G11" s="26" t="str">
        <f aca="false">IF(E11&gt;=$C11,"PASS","FAIL")</f>
        <v>PASS</v>
      </c>
      <c r="H11" s="7" t="str">
        <f aca="false">IF(OR($A11="",$D11="",$D11&gt;=0),"",IFERROR("Rights_Coverage_View!H"&amp;MATCH($A11&amp;"|"&amp;ROUND($D11*1000000000000,0),Rights_Coverage_View!$O$2:$O$100,0)+1,""))</f>
        <v>Rights_Coverage_View!H33</v>
      </c>
      <c r="I11" s="7" t="str">
        <f aca="false">IF(OR($A11="",$E11="",$E11&gt;=0),"",IFERROR("Rights_Coverage_View!I"&amp;MATCH($A11&amp;"|"&amp;ROUND($E11*1000000000000,0),Rights_Coverage_View!$P$2:$P$100,0)+1,""))</f>
        <v>Rights_Coverage_View!I29</v>
      </c>
      <c r="J11" s="5"/>
      <c r="K11" s="31"/>
      <c r="L11" s="31"/>
      <c r="M11" s="31"/>
      <c r="N11" s="31"/>
      <c r="O11" s="31"/>
      <c r="P11" s="31"/>
      <c r="Q11" s="31"/>
      <c r="R11" s="31"/>
      <c r="S11" s="31"/>
      <c r="T11" s="31"/>
    </row>
    <row r="12" customFormat="false" ht="14.25" hidden="false" customHeight="true" outlineLevel="0" collapsed="false">
      <c r="A12" s="7" t="s">
        <v>178</v>
      </c>
      <c r="B12" s="7" t="n">
        <v>5</v>
      </c>
      <c r="C12" s="7" t="n">
        <v>-0.55</v>
      </c>
      <c r="D12" s="24" t="n">
        <f aca="false">SUMPRODUCT(MIN((Rights_Coverage_View!$B$2:$B$71=$A12)*Rights_Coverage_View!$M$2:$M$71+(Rights_Coverage_View!$B$2:$B$71&lt;&gt;$A12)*1E+099))</f>
        <v>-0.15</v>
      </c>
      <c r="E12" s="24" t="n">
        <f aca="false">SUMPRODUCT(MIN((Rights_Coverage_View!$B$2:$B$71=$A12)*Rights_Coverage_View!$N$2:$N$71+(Rights_Coverage_View!$B$2:$B$71&lt;&gt;$A12)*1E+099))</f>
        <v>-0.15</v>
      </c>
      <c r="F12" s="26" t="str">
        <f aca="false">IF(D12&gt;=$C12,"PASS","FAIL")</f>
        <v>PASS</v>
      </c>
      <c r="G12" s="26" t="str">
        <f aca="false">IF(E12&gt;=$C12,"PASS","FAIL")</f>
        <v>PASS</v>
      </c>
      <c r="H12" s="7" t="str">
        <f aca="false">IF(OR($A12="",$D12="",$D12&gt;=0),"",IFERROR("Rights_Coverage_View!H"&amp;MATCH($A12&amp;"|"&amp;ROUND($D12*1000000000000,0),Rights_Coverage_View!$O$2:$O$100,0)+1,""))</f>
        <v>Rights_Coverage_View!H43</v>
      </c>
      <c r="I12" s="7" t="str">
        <f aca="false">IF(OR($A12="",$E12="",$E12&gt;=0),"",IFERROR("Rights_Coverage_View!I"&amp;MATCH($A12&amp;"|"&amp;ROUND($E12*1000000000000,0),Rights_Coverage_View!$P$2:$P$100,0)+1,""))</f>
        <v>Rights_Coverage_View!I40</v>
      </c>
      <c r="J12" s="5"/>
      <c r="K12" s="31"/>
      <c r="L12" s="31"/>
      <c r="M12" s="31"/>
      <c r="N12" s="31"/>
      <c r="O12" s="31"/>
      <c r="P12" s="31"/>
      <c r="Q12" s="31"/>
      <c r="R12" s="31"/>
      <c r="S12" s="31"/>
      <c r="T12" s="31"/>
    </row>
    <row r="13" customFormat="false" ht="14.25" hidden="false" customHeight="true" outlineLevel="0" collapsed="false">
      <c r="A13" s="7" t="s">
        <v>179</v>
      </c>
      <c r="B13" s="7" t="n">
        <v>6</v>
      </c>
      <c r="C13" s="7" t="n">
        <v>-0.45</v>
      </c>
      <c r="D13" s="24" t="n">
        <f aca="false">SUMPRODUCT(MIN((Rights_Coverage_View!$B$2:$B$71=$A13)*Rights_Coverage_View!$M$2:$M$71+(Rights_Coverage_View!$B$2:$B$71&lt;&gt;$A13)*1E+099))</f>
        <v>0</v>
      </c>
      <c r="E13" s="24" t="n">
        <f aca="false">SUMPRODUCT(MIN((Rights_Coverage_View!$B$2:$B$71=$A13)*Rights_Coverage_View!$N$2:$N$71+(Rights_Coverage_View!$B$2:$B$71&lt;&gt;$A13)*1E+099))</f>
        <v>0</v>
      </c>
      <c r="F13" s="26" t="str">
        <f aca="false">IF(D13&gt;=$C13,"PASS","FAIL")</f>
        <v>PASS</v>
      </c>
      <c r="G13" s="26" t="str">
        <f aca="false">IF(E13&gt;=$C13,"PASS","FAIL")</f>
        <v>PASS</v>
      </c>
      <c r="H13" s="7" t="str">
        <f aca="false">IF(OR($A13="",$D13="",$D13&gt;=0),"",IFERROR("Rights_Coverage_View!H"&amp;MATCH($A13&amp;"|"&amp;ROUND($D13*1000000000000,0),Rights_Coverage_View!$O$2:$O$100,0)+1,""))</f>
        <v/>
      </c>
      <c r="I13" s="7" t="str">
        <f aca="false">IF(OR($A13="",$E13="",$E13&gt;=0),"",IFERROR("Rights_Coverage_View!I"&amp;MATCH($A13&amp;"|"&amp;ROUND($E13*1000000000000,0),Rights_Coverage_View!$P$2:$P$100,0)+1,""))</f>
        <v/>
      </c>
      <c r="J13" s="5"/>
      <c r="K13" s="31"/>
      <c r="L13" s="31"/>
      <c r="M13" s="31"/>
      <c r="N13" s="31"/>
      <c r="O13" s="31"/>
      <c r="P13" s="31"/>
      <c r="Q13" s="31"/>
      <c r="R13" s="31"/>
      <c r="S13" s="31"/>
      <c r="T13" s="31"/>
    </row>
    <row r="14" customFormat="false" ht="14.25" hidden="false" customHeight="true" outlineLevel="0" collapsed="false">
      <c r="A14" s="7" t="s">
        <v>180</v>
      </c>
      <c r="B14" s="7" t="n">
        <v>7</v>
      </c>
      <c r="C14" s="7" t="n">
        <v>-0.4</v>
      </c>
      <c r="D14" s="7" t="n">
        <f aca="false">SUMPRODUCT(MIN((Rights_Coverage_View!$B$2:$B$71=$A14)*Rights_Coverage_View!$M$2:$M$71+(Rights_Coverage_View!$B$2:$B$71&lt;&gt;$A14)*1E+099))</f>
        <v>0</v>
      </c>
      <c r="E14" s="7" t="n">
        <f aca="false">SUMPRODUCT(MIN((Rights_Coverage_View!$B$2:$B$71=$A14)*Rights_Coverage_View!$N$2:$N$71+(Rights_Coverage_View!$B$2:$B$71&lt;&gt;$A14)*1E+099))</f>
        <v>-0.15</v>
      </c>
      <c r="F14" s="26" t="str">
        <f aca="false">IF(D14&gt;=$C14,"PASS","FAIL")</f>
        <v>PASS</v>
      </c>
      <c r="G14" s="26" t="str">
        <f aca="false">IF(E14&gt;=$C14,"PASS","FAIL")</f>
        <v>PASS</v>
      </c>
      <c r="H14" s="7" t="str">
        <f aca="false">IF(OR($A14="",$D14="",$D14&gt;=0),"",IFERROR("Rights_Coverage_View!H"&amp;MATCH($A14&amp;"|"&amp;ROUND($D14*1000000000000,0),Rights_Coverage_View!$O$2:$O$100,0)+1,""))</f>
        <v/>
      </c>
      <c r="I14" s="7" t="str">
        <f aca="false">IF(OR($A14="",$E14="",$E14&gt;=0),"",IFERROR("Rights_Coverage_View!I"&amp;MATCH($A14&amp;"|"&amp;ROUND($E14*1000000000000,0),Rights_Coverage_View!$P$2:$P$100,0)+1,""))</f>
        <v>Rights_Coverage_View!I61</v>
      </c>
      <c r="J14" s="5"/>
      <c r="K14" s="31"/>
      <c r="L14" s="31"/>
      <c r="M14" s="31"/>
      <c r="N14" s="31"/>
      <c r="O14" s="31"/>
      <c r="P14" s="31"/>
      <c r="Q14" s="31"/>
      <c r="R14" s="31"/>
      <c r="S14" s="31"/>
      <c r="T14" s="31"/>
    </row>
    <row r="15" customFormat="false" ht="14.25" hidden="false" customHeight="true" outlineLevel="0" collapsed="false">
      <c r="A15" s="7" t="s">
        <v>181</v>
      </c>
      <c r="B15" s="7" t="n">
        <v>8</v>
      </c>
      <c r="C15" s="7" t="n">
        <v>-0.65</v>
      </c>
      <c r="D15" s="24" t="n">
        <f aca="false">SUMPRODUCT(MIN((Rights_Coverage_View!$B$2:$B$71=$A15)*Rights_Coverage_View!$M$2:$M$71+(Rights_Coverage_View!$B$2:$B$71&lt;&gt;$A15)*1E+099))</f>
        <v>0</v>
      </c>
      <c r="E15" s="24" t="n">
        <f aca="false">SUMPRODUCT(MIN((Rights_Coverage_View!$B$2:$B$71=$A15)*Rights_Coverage_View!$N$2:$N$71+(Rights_Coverage_View!$B$2:$B$71&lt;&gt;$A15)*1E+099))</f>
        <v>-0.08</v>
      </c>
      <c r="F15" s="26" t="str">
        <f aca="false">IF(D15&gt;=$C15,"PASS","FAIL")</f>
        <v>PASS</v>
      </c>
      <c r="G15" s="26" t="str">
        <f aca="false">IF(E15&gt;=$C15,"PASS","FAIL")</f>
        <v>PASS</v>
      </c>
      <c r="H15" s="7" t="str">
        <f aca="false">IF(OR($A15="",$D15="",$D15&gt;=0),"",IFERROR("Rights_Coverage_View!H"&amp;MATCH($A15&amp;"|"&amp;ROUND($D15*1000000000000,0),Rights_Coverage_View!$O$2:$O$100,0)+1,""))</f>
        <v/>
      </c>
      <c r="I15" s="7" t="str">
        <f aca="false">IF(OR($A15="",$E15="",$E15&gt;=0),"",IFERROR("Rights_Coverage_View!I"&amp;MATCH($A15&amp;"|"&amp;ROUND($E15*1000000000000,0),Rights_Coverage_View!$P$2:$P$100,0)+1,""))</f>
        <v>Rights_Coverage_View!I16</v>
      </c>
      <c r="J15" s="5"/>
      <c r="K15" s="31"/>
      <c r="L15" s="31"/>
      <c r="M15" s="31"/>
      <c r="N15" s="31"/>
      <c r="O15" s="31"/>
      <c r="P15" s="31"/>
      <c r="Q15" s="31"/>
      <c r="R15" s="31"/>
      <c r="S15" s="31"/>
      <c r="T15" s="31"/>
    </row>
    <row r="16" customFormat="false" ht="14.25" hidden="false" customHeight="true" outlineLevel="0" collapsed="false">
      <c r="A16" s="5"/>
      <c r="B16" s="5"/>
      <c r="C16" s="5"/>
      <c r="D16" s="24" t="n">
        <f aca="false">MIN(D8:D15)</f>
        <v>-0.3</v>
      </c>
      <c r="E16" s="24" t="n">
        <f aca="false">MIN(E8:E15)</f>
        <v>-0.15</v>
      </c>
      <c r="F16" s="26"/>
      <c r="G16" s="5"/>
      <c r="H16" s="5"/>
      <c r="I16" s="5"/>
      <c r="J16" s="5"/>
      <c r="K16" s="31"/>
      <c r="L16" s="31"/>
      <c r="M16" s="31"/>
      <c r="N16" s="31"/>
      <c r="O16" s="31"/>
      <c r="P16" s="31"/>
      <c r="Q16" s="31"/>
      <c r="R16" s="31"/>
      <c r="S16" s="31"/>
      <c r="T16" s="31"/>
    </row>
    <row r="17" customFormat="false" ht="14.25" hidden="false" customHeight="true" outlineLevel="0" collapsed="false">
      <c r="A17" s="10" t="s">
        <v>1471</v>
      </c>
      <c r="B17" s="5"/>
      <c r="C17" s="5"/>
      <c r="D17" s="5"/>
      <c r="E17" s="5"/>
      <c r="F17" s="5"/>
      <c r="G17" s="5"/>
      <c r="H17" s="5"/>
      <c r="I17" s="5"/>
      <c r="J17" s="5"/>
      <c r="K17" s="31"/>
      <c r="L17" s="31"/>
      <c r="M17" s="31"/>
      <c r="N17" s="31"/>
      <c r="O17" s="31"/>
      <c r="P17" s="31"/>
      <c r="Q17" s="31"/>
      <c r="R17" s="31"/>
      <c r="S17" s="31"/>
      <c r="T17" s="31"/>
    </row>
    <row r="18" customFormat="false" ht="19.5" hidden="false" customHeight="true" outlineLevel="0" collapsed="false">
      <c r="A18" s="7" t="s">
        <v>1472</v>
      </c>
      <c r="B18" s="26" t="s">
        <v>1473</v>
      </c>
      <c r="C18" s="7" t="s">
        <v>1474</v>
      </c>
      <c r="D18" s="7" t="str">
        <f aca="false">IF(COUNTIF(F8:F15,"FAIL")=0,"PASS","FAIL")</f>
        <v>PASS</v>
      </c>
      <c r="E18" s="7" t="s">
        <v>1475</v>
      </c>
      <c r="F18" s="5"/>
      <c r="G18" s="5"/>
      <c r="H18" s="5"/>
      <c r="I18" s="5"/>
      <c r="J18" s="5"/>
      <c r="K18" s="31"/>
      <c r="L18" s="31"/>
      <c r="M18" s="31"/>
      <c r="N18" s="31"/>
      <c r="O18" s="31"/>
      <c r="P18" s="31"/>
      <c r="Q18" s="31"/>
      <c r="R18" s="31"/>
      <c r="S18" s="31"/>
      <c r="T18" s="31"/>
    </row>
    <row r="19" customFormat="false" ht="19.5" hidden="false" customHeight="true" outlineLevel="0" collapsed="false">
      <c r="A19" s="7" t="s">
        <v>1476</v>
      </c>
      <c r="B19" s="26" t="s">
        <v>1473</v>
      </c>
      <c r="C19" s="7" t="s">
        <v>1477</v>
      </c>
      <c r="D19" s="7" t="str">
        <f aca="false">IF(COUNTIF(G8:G15,"FAIL")=0,"PASS","FAIL")</f>
        <v>PASS</v>
      </c>
      <c r="E19" s="5"/>
      <c r="F19" s="5"/>
      <c r="G19" s="5"/>
      <c r="H19" s="5"/>
      <c r="I19" s="5"/>
      <c r="J19" s="5"/>
      <c r="K19" s="31"/>
      <c r="L19" s="31"/>
      <c r="M19" s="31"/>
      <c r="N19" s="31"/>
      <c r="O19" s="31"/>
      <c r="P19" s="31"/>
      <c r="Q19" s="31"/>
      <c r="R19" s="31"/>
      <c r="S19" s="31"/>
      <c r="T19" s="31"/>
    </row>
    <row r="20" customFormat="false" ht="42" hidden="false" customHeight="true" outlineLevel="0" collapsed="false">
      <c r="A20" s="7" t="s">
        <v>1478</v>
      </c>
      <c r="B20" s="7"/>
      <c r="C20" s="7"/>
      <c r="D20" s="7"/>
      <c r="E20" s="7"/>
      <c r="F20" s="7"/>
      <c r="G20" s="7"/>
      <c r="H20" s="7"/>
      <c r="I20" s="7"/>
      <c r="J20" s="5"/>
      <c r="K20" s="31"/>
      <c r="L20" s="31"/>
      <c r="M20" s="31"/>
      <c r="N20" s="31"/>
      <c r="O20" s="31"/>
      <c r="P20" s="31"/>
      <c r="Q20" s="31"/>
      <c r="R20" s="31"/>
      <c r="S20" s="31"/>
      <c r="T20" s="31"/>
    </row>
    <row r="21" customFormat="false" ht="42" hidden="true" customHeight="true" outlineLevel="0" collapsed="false">
      <c r="A21" s="7" t="s">
        <v>1479</v>
      </c>
      <c r="B21" s="7"/>
      <c r="C21" s="7"/>
      <c r="D21" s="7"/>
      <c r="E21" s="7"/>
      <c r="F21" s="7"/>
      <c r="G21" s="7"/>
      <c r="H21" s="7"/>
      <c r="I21" s="7"/>
      <c r="J21" s="5"/>
      <c r="K21" s="31"/>
      <c r="L21" s="31"/>
      <c r="M21" s="31"/>
      <c r="N21" s="31"/>
      <c r="O21" s="31"/>
      <c r="P21" s="31"/>
      <c r="Q21" s="31"/>
      <c r="R21" s="31"/>
      <c r="S21" s="31"/>
      <c r="T21" s="31"/>
    </row>
    <row r="22" customFormat="false" ht="14.25" hidden="true" customHeight="true" outlineLevel="0" collapsed="false">
      <c r="A22" s="64" t="s">
        <v>1480</v>
      </c>
      <c r="B22" s="23" t="s">
        <v>1481</v>
      </c>
      <c r="C22" s="23"/>
      <c r="D22" s="23"/>
      <c r="E22" s="23"/>
      <c r="F22" s="23"/>
      <c r="G22" s="5"/>
      <c r="H22" s="5"/>
      <c r="I22" s="5"/>
      <c r="J22" s="5"/>
      <c r="K22" s="31"/>
      <c r="L22" s="31"/>
      <c r="M22" s="31"/>
      <c r="N22" s="31"/>
      <c r="O22" s="31"/>
      <c r="P22" s="31"/>
      <c r="Q22" s="31"/>
      <c r="R22" s="31"/>
      <c r="S22" s="31"/>
      <c r="T22" s="31"/>
    </row>
    <row r="23" customFormat="false" ht="14.25" hidden="true" customHeight="true" outlineLevel="0" collapsed="false">
      <c r="A23" s="7"/>
      <c r="B23" s="7"/>
      <c r="C23" s="7"/>
      <c r="D23" s="24"/>
      <c r="E23" s="24"/>
      <c r="F23" s="26"/>
      <c r="G23" s="5"/>
      <c r="H23" s="5"/>
      <c r="I23" s="5"/>
      <c r="J23" s="5"/>
      <c r="K23" s="31"/>
      <c r="L23" s="31"/>
      <c r="M23" s="31"/>
      <c r="N23" s="31"/>
      <c r="O23" s="31"/>
      <c r="P23" s="31"/>
      <c r="Q23" s="31"/>
      <c r="R23" s="31"/>
      <c r="S23" s="31"/>
      <c r="T23" s="31"/>
    </row>
    <row r="24" customFormat="false" ht="14.25" hidden="true" customHeight="true" outlineLevel="0" collapsed="false">
      <c r="A24" s="7"/>
      <c r="B24" s="7"/>
      <c r="C24" s="7"/>
      <c r="D24" s="24"/>
      <c r="E24" s="24"/>
      <c r="F24" s="26"/>
      <c r="G24" s="5"/>
      <c r="H24" s="5"/>
      <c r="I24" s="5"/>
      <c r="J24" s="5"/>
      <c r="K24" s="31"/>
      <c r="L24" s="31"/>
      <c r="M24" s="31"/>
      <c r="N24" s="31"/>
      <c r="O24" s="31"/>
      <c r="P24" s="31"/>
      <c r="Q24" s="31"/>
      <c r="R24" s="31"/>
      <c r="S24" s="31"/>
      <c r="T24" s="31"/>
    </row>
    <row r="25" customFormat="false" ht="14.25" hidden="true" customHeight="true" outlineLevel="0" collapsed="false">
      <c r="A25" s="7"/>
      <c r="B25" s="7"/>
      <c r="C25" s="7"/>
      <c r="D25" s="24"/>
      <c r="E25" s="24"/>
      <c r="F25" s="26"/>
      <c r="G25" s="5"/>
      <c r="H25" s="5"/>
      <c r="I25" s="5"/>
      <c r="J25" s="5"/>
      <c r="K25" s="31"/>
      <c r="L25" s="31"/>
      <c r="M25" s="31"/>
      <c r="N25" s="31"/>
      <c r="O25" s="31"/>
      <c r="P25" s="31"/>
      <c r="Q25" s="31"/>
      <c r="R25" s="31"/>
      <c r="S25" s="31"/>
      <c r="T25" s="31"/>
    </row>
    <row r="26" customFormat="false" ht="14.25" hidden="true" customHeight="true" outlineLevel="0" collapsed="false">
      <c r="A26" s="7"/>
      <c r="B26" s="7"/>
      <c r="C26" s="7"/>
      <c r="D26" s="24"/>
      <c r="E26" s="24"/>
      <c r="F26" s="26"/>
      <c r="G26" s="5"/>
      <c r="H26" s="5"/>
      <c r="I26" s="5"/>
      <c r="J26" s="5"/>
      <c r="K26" s="31"/>
      <c r="L26" s="31"/>
      <c r="M26" s="31"/>
      <c r="N26" s="31"/>
      <c r="O26" s="31"/>
      <c r="P26" s="31"/>
      <c r="Q26" s="31"/>
      <c r="R26" s="31"/>
      <c r="S26" s="31"/>
      <c r="T26" s="31"/>
    </row>
    <row r="27" customFormat="false" ht="14.25" hidden="true" customHeight="true" outlineLevel="0" collapsed="false">
      <c r="A27" s="7"/>
      <c r="B27" s="7"/>
      <c r="C27" s="7"/>
      <c r="D27" s="24"/>
      <c r="E27" s="24"/>
      <c r="F27" s="26"/>
      <c r="G27" s="5"/>
      <c r="H27" s="5"/>
      <c r="I27" s="5"/>
      <c r="J27" s="5"/>
      <c r="K27" s="31"/>
      <c r="L27" s="31"/>
      <c r="M27" s="31"/>
      <c r="N27" s="31"/>
      <c r="O27" s="31"/>
      <c r="P27" s="31"/>
      <c r="Q27" s="31"/>
      <c r="R27" s="31"/>
      <c r="S27" s="31"/>
      <c r="T27" s="31"/>
    </row>
    <row r="28" customFormat="false" ht="14.25" hidden="true" customHeight="true" outlineLevel="0" collapsed="false">
      <c r="A28" s="7"/>
      <c r="B28" s="7"/>
      <c r="C28" s="7"/>
      <c r="D28" s="24"/>
      <c r="E28" s="24"/>
      <c r="F28" s="26"/>
      <c r="G28" s="5"/>
      <c r="H28" s="5"/>
      <c r="I28" s="5"/>
      <c r="J28" s="5"/>
      <c r="K28" s="31"/>
      <c r="L28" s="31"/>
      <c r="M28" s="31"/>
      <c r="N28" s="31"/>
      <c r="O28" s="31"/>
      <c r="P28" s="31"/>
      <c r="Q28" s="31"/>
      <c r="R28" s="31"/>
      <c r="S28" s="31"/>
      <c r="T28" s="31"/>
    </row>
    <row r="29" customFormat="false" ht="14.25" hidden="true" customHeight="true" outlineLevel="0" collapsed="false">
      <c r="A29" s="7"/>
      <c r="B29" s="7"/>
      <c r="C29" s="7"/>
      <c r="D29" s="7"/>
      <c r="E29" s="7"/>
      <c r="F29" s="7"/>
      <c r="G29" s="5"/>
      <c r="H29" s="5"/>
      <c r="I29" s="5"/>
      <c r="J29" s="5"/>
      <c r="K29" s="31"/>
      <c r="L29" s="31"/>
      <c r="M29" s="31"/>
      <c r="N29" s="31"/>
      <c r="O29" s="31"/>
      <c r="P29" s="31"/>
      <c r="Q29" s="31"/>
      <c r="R29" s="31"/>
      <c r="S29" s="31"/>
      <c r="T29" s="31"/>
    </row>
    <row r="30" customFormat="false" ht="14.25" hidden="true" customHeight="true" outlineLevel="0" collapsed="false">
      <c r="A30" s="7"/>
      <c r="B30" s="7"/>
      <c r="C30" s="7"/>
      <c r="D30" s="24"/>
      <c r="E30" s="24"/>
      <c r="F30" s="26"/>
      <c r="G30" s="5"/>
      <c r="H30" s="5"/>
      <c r="I30" s="5"/>
      <c r="J30" s="5"/>
      <c r="K30" s="31"/>
      <c r="L30" s="31"/>
      <c r="M30" s="31"/>
      <c r="N30" s="31"/>
      <c r="O30" s="31"/>
      <c r="P30" s="31"/>
      <c r="Q30" s="31"/>
      <c r="R30" s="31"/>
      <c r="S30" s="31"/>
      <c r="T30" s="31"/>
    </row>
    <row r="31" customFormat="false" ht="14.25" hidden="true" customHeight="true" outlineLevel="0" collapsed="false">
      <c r="A31" s="5"/>
      <c r="B31" s="5"/>
      <c r="C31" s="5"/>
      <c r="D31" s="24"/>
      <c r="E31" s="24"/>
      <c r="F31" s="26"/>
      <c r="G31" s="5"/>
      <c r="H31" s="5"/>
      <c r="I31" s="5"/>
      <c r="J31" s="5"/>
      <c r="K31" s="31"/>
      <c r="L31" s="31"/>
      <c r="M31" s="31"/>
      <c r="N31" s="31"/>
      <c r="O31" s="31"/>
      <c r="P31" s="31"/>
      <c r="Q31" s="31"/>
      <c r="R31" s="31"/>
      <c r="S31" s="31"/>
      <c r="T31" s="31"/>
    </row>
    <row r="32" customFormat="false" ht="14.25" hidden="true" customHeight="true" outlineLevel="0" collapsed="false">
      <c r="A32" s="5"/>
      <c r="B32" s="5"/>
      <c r="C32" s="5"/>
      <c r="D32" s="5"/>
      <c r="E32" s="5"/>
      <c r="F32" s="5"/>
      <c r="G32" s="5"/>
      <c r="H32" s="5"/>
      <c r="I32" s="5"/>
      <c r="J32" s="5"/>
      <c r="K32" s="31"/>
      <c r="L32" s="31"/>
      <c r="M32" s="31"/>
      <c r="N32" s="31"/>
      <c r="O32" s="31"/>
      <c r="P32" s="31"/>
      <c r="Q32" s="31"/>
      <c r="R32" s="31"/>
      <c r="S32" s="31"/>
      <c r="T32" s="31"/>
    </row>
    <row r="33" customFormat="false" ht="14.25" hidden="true" customHeight="true" outlineLevel="0" collapsed="false">
      <c r="A33" s="7"/>
      <c r="B33" s="5"/>
      <c r="C33" s="5"/>
      <c r="D33" s="7"/>
      <c r="E33" s="7"/>
      <c r="F33" s="5"/>
      <c r="G33" s="5"/>
      <c r="H33" s="5"/>
      <c r="I33" s="5"/>
      <c r="J33" s="5"/>
      <c r="K33" s="31"/>
      <c r="L33" s="31"/>
      <c r="M33" s="31"/>
      <c r="N33" s="31"/>
      <c r="O33" s="31"/>
      <c r="P33" s="31"/>
      <c r="Q33" s="31"/>
      <c r="R33" s="31"/>
      <c r="S33" s="31"/>
      <c r="T33" s="31"/>
    </row>
    <row r="34" customFormat="false" ht="14.25" hidden="true" customHeight="true" outlineLevel="0" collapsed="false">
      <c r="A34" s="7"/>
      <c r="B34" s="26"/>
      <c r="C34" s="5"/>
      <c r="D34" s="5"/>
      <c r="E34" s="5"/>
      <c r="F34" s="5"/>
      <c r="G34" s="5"/>
      <c r="H34" s="5"/>
      <c r="I34" s="5"/>
      <c r="J34" s="5"/>
      <c r="K34" s="31"/>
      <c r="L34" s="31"/>
      <c r="M34" s="31"/>
      <c r="N34" s="31"/>
      <c r="O34" s="31"/>
      <c r="P34" s="31"/>
      <c r="Q34" s="31"/>
      <c r="R34" s="31"/>
      <c r="S34" s="31"/>
      <c r="T34" s="31"/>
    </row>
    <row r="35" customFormat="false" ht="14.25" hidden="true" customHeight="true" outlineLevel="0" collapsed="false">
      <c r="A35" s="7"/>
      <c r="B35" s="5"/>
      <c r="C35" s="5"/>
      <c r="D35" s="5"/>
      <c r="E35" s="5"/>
      <c r="F35" s="5"/>
      <c r="G35" s="5"/>
      <c r="H35" s="5"/>
      <c r="I35" s="5"/>
      <c r="J35" s="5"/>
      <c r="K35" s="31"/>
      <c r="L35" s="31"/>
      <c r="M35" s="31"/>
      <c r="N35" s="31"/>
      <c r="O35" s="31"/>
      <c r="P35" s="31"/>
      <c r="Q35" s="31"/>
      <c r="R35" s="31"/>
      <c r="S35" s="31"/>
      <c r="T35" s="31"/>
    </row>
    <row r="36" customFormat="false" ht="14.25" hidden="true" customHeight="true" outlineLevel="0" collapsed="false">
      <c r="A36" s="23"/>
      <c r="B36" s="7"/>
      <c r="C36" s="5"/>
      <c r="D36" s="5"/>
      <c r="E36" s="5"/>
      <c r="F36" s="5"/>
      <c r="G36" s="5"/>
      <c r="H36" s="5"/>
      <c r="I36" s="5"/>
      <c r="J36" s="5"/>
      <c r="K36" s="31"/>
      <c r="L36" s="31"/>
      <c r="M36" s="31"/>
      <c r="N36" s="31"/>
      <c r="O36" s="31"/>
      <c r="P36" s="31"/>
      <c r="Q36" s="31"/>
      <c r="R36" s="31"/>
      <c r="S36" s="31"/>
      <c r="T36" s="31"/>
    </row>
    <row r="37" customFormat="false" ht="14.25" hidden="true" customHeight="true" outlineLevel="0" collapsed="false">
      <c r="A37" s="7"/>
      <c r="B37" s="7"/>
      <c r="C37" s="5"/>
      <c r="D37" s="5"/>
      <c r="E37" s="5"/>
      <c r="F37" s="5"/>
      <c r="G37" s="5"/>
      <c r="H37" s="5"/>
      <c r="I37" s="5"/>
      <c r="J37" s="5"/>
      <c r="K37" s="31"/>
      <c r="L37" s="31"/>
      <c r="M37" s="31"/>
      <c r="N37" s="31"/>
      <c r="O37" s="31"/>
      <c r="P37" s="31"/>
      <c r="Q37" s="31"/>
      <c r="R37" s="31"/>
      <c r="S37" s="31"/>
      <c r="T37" s="31"/>
    </row>
    <row r="38" customFormat="false" ht="14.25" hidden="true" customHeight="true" outlineLevel="0" collapsed="false">
      <c r="A38" s="7"/>
      <c r="B38" s="5"/>
      <c r="C38" s="5"/>
      <c r="D38" s="5"/>
      <c r="E38" s="5"/>
      <c r="F38" s="5"/>
      <c r="G38" s="5"/>
      <c r="H38" s="5"/>
      <c r="I38" s="5"/>
      <c r="J38" s="5"/>
      <c r="K38" s="31"/>
      <c r="L38" s="31"/>
      <c r="M38" s="31"/>
      <c r="N38" s="31"/>
      <c r="O38" s="31"/>
      <c r="P38" s="31"/>
      <c r="Q38" s="31"/>
      <c r="R38" s="31"/>
      <c r="S38" s="31"/>
      <c r="T38" s="31"/>
    </row>
    <row r="39" customFormat="false" ht="14.25" hidden="true" customHeight="true" outlineLevel="0" collapsed="false">
      <c r="A39" s="7"/>
      <c r="B39" s="5"/>
      <c r="C39" s="5"/>
      <c r="D39" s="5"/>
      <c r="E39" s="5"/>
      <c r="F39" s="5"/>
      <c r="G39" s="5"/>
      <c r="H39" s="5"/>
      <c r="I39" s="5"/>
      <c r="J39" s="5"/>
      <c r="K39" s="31"/>
      <c r="L39" s="31"/>
      <c r="M39" s="31"/>
      <c r="N39" s="31"/>
      <c r="O39" s="31"/>
      <c r="P39" s="31"/>
      <c r="Q39" s="31"/>
      <c r="R39" s="31"/>
      <c r="S39" s="31"/>
      <c r="T39" s="31"/>
    </row>
    <row r="40" customFormat="false" ht="13.5" hidden="true" customHeight="true" outlineLevel="0" collapsed="false">
      <c r="A40" s="31"/>
      <c r="B40" s="31"/>
      <c r="C40" s="31"/>
      <c r="D40" s="31"/>
      <c r="E40" s="31"/>
      <c r="F40" s="31"/>
      <c r="G40" s="31"/>
      <c r="H40" s="31"/>
      <c r="I40" s="31"/>
      <c r="J40" s="31"/>
      <c r="K40" s="31"/>
      <c r="L40" s="31"/>
      <c r="M40" s="31"/>
      <c r="N40" s="31"/>
      <c r="O40" s="31"/>
      <c r="P40" s="31"/>
      <c r="Q40" s="31"/>
      <c r="R40" s="31"/>
      <c r="S40" s="31"/>
      <c r="T40" s="31"/>
    </row>
    <row r="41" customFormat="false" ht="13.5" hidden="true" customHeight="true" outlineLevel="0" collapsed="false">
      <c r="A41" s="31"/>
      <c r="B41" s="31"/>
      <c r="C41" s="31"/>
      <c r="D41" s="31"/>
      <c r="E41" s="31"/>
      <c r="F41" s="31"/>
      <c r="G41" s="31"/>
      <c r="H41" s="31"/>
      <c r="I41" s="31"/>
      <c r="J41" s="31"/>
      <c r="K41" s="31"/>
      <c r="L41" s="31"/>
      <c r="M41" s="31"/>
      <c r="N41" s="31"/>
      <c r="O41" s="31"/>
      <c r="P41" s="31"/>
      <c r="Q41" s="31"/>
      <c r="R41" s="31"/>
      <c r="S41" s="31"/>
      <c r="T41" s="31"/>
    </row>
    <row r="42" customFormat="false" ht="13.5" hidden="true" customHeight="true" outlineLevel="0" collapsed="false">
      <c r="A42" s="31"/>
      <c r="B42" s="31"/>
      <c r="C42" s="31"/>
      <c r="D42" s="31"/>
      <c r="E42" s="31"/>
      <c r="F42" s="31"/>
      <c r="G42" s="31"/>
      <c r="H42" s="31"/>
      <c r="I42" s="31"/>
      <c r="J42" s="31"/>
      <c r="K42" s="31"/>
      <c r="L42" s="31"/>
      <c r="M42" s="31"/>
      <c r="N42" s="31"/>
      <c r="O42" s="31"/>
      <c r="P42" s="31"/>
      <c r="Q42" s="31"/>
      <c r="R42" s="31"/>
      <c r="S42" s="31"/>
      <c r="T42" s="31"/>
    </row>
    <row r="43" customFormat="false" ht="13.5" hidden="true" customHeight="true" outlineLevel="0" collapsed="false">
      <c r="A43" s="31"/>
      <c r="B43" s="31"/>
      <c r="C43" s="31"/>
      <c r="D43" s="31"/>
      <c r="E43" s="31"/>
      <c r="F43" s="31"/>
      <c r="G43" s="31"/>
      <c r="H43" s="31"/>
      <c r="I43" s="31"/>
      <c r="J43" s="31"/>
      <c r="K43" s="31"/>
      <c r="L43" s="31"/>
      <c r="M43" s="31"/>
      <c r="N43" s="31"/>
      <c r="O43" s="31"/>
      <c r="P43" s="31"/>
      <c r="Q43" s="31"/>
      <c r="R43" s="31"/>
      <c r="S43" s="31"/>
      <c r="T43" s="31"/>
    </row>
    <row r="44" customFormat="false" ht="13.5" hidden="true" customHeight="true" outlineLevel="0" collapsed="false">
      <c r="A44" s="31"/>
      <c r="B44" s="31"/>
      <c r="C44" s="31"/>
      <c r="D44" s="31"/>
      <c r="E44" s="31"/>
      <c r="F44" s="31"/>
      <c r="G44" s="31"/>
      <c r="H44" s="31"/>
      <c r="I44" s="31"/>
      <c r="J44" s="31"/>
      <c r="K44" s="31"/>
      <c r="L44" s="31"/>
      <c r="M44" s="31"/>
      <c r="N44" s="31"/>
      <c r="O44" s="31"/>
      <c r="P44" s="31"/>
      <c r="Q44" s="31"/>
      <c r="R44" s="31"/>
      <c r="S44" s="31"/>
      <c r="T44" s="31"/>
    </row>
    <row r="45" customFormat="false" ht="13.5" hidden="true" customHeight="true" outlineLevel="0" collapsed="false">
      <c r="A45" s="31"/>
      <c r="B45" s="31"/>
      <c r="C45" s="31"/>
      <c r="D45" s="31"/>
      <c r="E45" s="31"/>
      <c r="F45" s="31"/>
      <c r="G45" s="31"/>
      <c r="H45" s="31"/>
      <c r="I45" s="31"/>
      <c r="J45" s="31"/>
      <c r="K45" s="31"/>
      <c r="L45" s="31"/>
      <c r="M45" s="31"/>
      <c r="N45" s="31"/>
      <c r="O45" s="31"/>
      <c r="P45" s="31"/>
      <c r="Q45" s="31"/>
      <c r="R45" s="31"/>
      <c r="S45" s="31"/>
      <c r="T45" s="31"/>
    </row>
    <row r="46" customFormat="false" ht="13.5" hidden="true" customHeight="true" outlineLevel="0" collapsed="false">
      <c r="A46" s="31"/>
      <c r="B46" s="31"/>
      <c r="C46" s="31"/>
      <c r="D46" s="31"/>
      <c r="E46" s="31"/>
      <c r="F46" s="31"/>
      <c r="G46" s="31"/>
      <c r="H46" s="31"/>
      <c r="I46" s="31"/>
      <c r="J46" s="31"/>
      <c r="K46" s="31"/>
      <c r="L46" s="31"/>
      <c r="M46" s="31"/>
      <c r="N46" s="31"/>
      <c r="O46" s="31"/>
      <c r="P46" s="31"/>
      <c r="Q46" s="31"/>
      <c r="R46" s="31"/>
      <c r="S46" s="31"/>
      <c r="T46" s="31"/>
    </row>
    <row r="47" customFormat="false" ht="13.5" hidden="true" customHeight="true" outlineLevel="0" collapsed="false">
      <c r="A47" s="31"/>
      <c r="B47" s="31"/>
      <c r="C47" s="31"/>
      <c r="D47" s="31"/>
      <c r="E47" s="31"/>
      <c r="F47" s="31"/>
      <c r="G47" s="31"/>
      <c r="H47" s="31"/>
      <c r="I47" s="31"/>
      <c r="J47" s="31"/>
      <c r="K47" s="31"/>
      <c r="L47" s="31"/>
      <c r="M47" s="31"/>
      <c r="N47" s="31"/>
      <c r="O47" s="31"/>
      <c r="P47" s="31"/>
      <c r="Q47" s="31"/>
      <c r="R47" s="31"/>
      <c r="S47" s="31"/>
      <c r="T47" s="31"/>
    </row>
    <row r="48" customFormat="false" ht="13.5" hidden="true" customHeight="true" outlineLevel="0" collapsed="false">
      <c r="A48" s="31"/>
      <c r="B48" s="31"/>
      <c r="C48" s="31"/>
      <c r="D48" s="31"/>
      <c r="E48" s="31"/>
      <c r="F48" s="31"/>
      <c r="G48" s="31"/>
      <c r="H48" s="31"/>
      <c r="I48" s="31"/>
      <c r="J48" s="31"/>
      <c r="K48" s="31"/>
      <c r="L48" s="31"/>
      <c r="M48" s="31"/>
      <c r="N48" s="31"/>
      <c r="O48" s="31"/>
      <c r="P48" s="31"/>
      <c r="Q48" s="31"/>
      <c r="R48" s="31"/>
      <c r="S48" s="31"/>
      <c r="T48" s="31"/>
    </row>
    <row r="49" customFormat="false" ht="13.5" hidden="true" customHeight="true" outlineLevel="0" collapsed="false">
      <c r="A49" s="31"/>
      <c r="B49" s="31"/>
      <c r="C49" s="31"/>
      <c r="D49" s="31"/>
      <c r="E49" s="31"/>
      <c r="F49" s="31"/>
      <c r="G49" s="31"/>
      <c r="H49" s="31"/>
      <c r="I49" s="31"/>
      <c r="J49" s="31"/>
      <c r="K49" s="31"/>
      <c r="L49" s="31"/>
      <c r="M49" s="31"/>
      <c r="N49" s="31"/>
      <c r="O49" s="31"/>
      <c r="P49" s="31"/>
      <c r="Q49" s="31"/>
      <c r="R49" s="31"/>
      <c r="S49" s="31"/>
      <c r="T49" s="31"/>
    </row>
    <row r="50" customFormat="false" ht="13.5" hidden="true" customHeight="true" outlineLevel="0" collapsed="false">
      <c r="A50" s="31"/>
      <c r="B50" s="31"/>
      <c r="C50" s="31"/>
      <c r="D50" s="31"/>
      <c r="E50" s="31"/>
      <c r="F50" s="31"/>
      <c r="G50" s="31"/>
      <c r="H50" s="31"/>
      <c r="I50" s="31"/>
      <c r="J50" s="31"/>
      <c r="K50" s="31"/>
      <c r="L50" s="31"/>
      <c r="M50" s="31"/>
      <c r="N50" s="31"/>
      <c r="O50" s="31"/>
      <c r="P50" s="31"/>
      <c r="Q50" s="31"/>
      <c r="R50" s="31"/>
      <c r="S50" s="31"/>
      <c r="T50" s="31"/>
    </row>
    <row r="51" customFormat="false" ht="13.5" hidden="true" customHeight="true" outlineLevel="0" collapsed="false">
      <c r="A51" s="31"/>
      <c r="B51" s="31"/>
      <c r="C51" s="31"/>
      <c r="D51" s="31"/>
      <c r="E51" s="31"/>
      <c r="F51" s="31"/>
      <c r="G51" s="31"/>
      <c r="H51" s="31"/>
      <c r="I51" s="31"/>
      <c r="J51" s="31"/>
      <c r="K51" s="31"/>
      <c r="L51" s="31"/>
      <c r="M51" s="31"/>
      <c r="N51" s="31"/>
      <c r="O51" s="31"/>
      <c r="P51" s="31"/>
      <c r="Q51" s="31"/>
      <c r="R51" s="31"/>
      <c r="S51" s="31"/>
      <c r="T51" s="31"/>
    </row>
    <row r="52" customFormat="false" ht="13.5" hidden="true" customHeight="true" outlineLevel="0" collapsed="false">
      <c r="A52" s="31"/>
      <c r="B52" s="31"/>
      <c r="C52" s="31"/>
      <c r="D52" s="31"/>
      <c r="E52" s="31"/>
      <c r="F52" s="31"/>
      <c r="G52" s="31"/>
      <c r="H52" s="31"/>
      <c r="I52" s="31"/>
      <c r="J52" s="31"/>
      <c r="K52" s="31"/>
      <c r="L52" s="31"/>
      <c r="M52" s="31"/>
      <c r="N52" s="31"/>
      <c r="O52" s="31"/>
      <c r="P52" s="31"/>
      <c r="Q52" s="31"/>
      <c r="R52" s="31"/>
      <c r="S52" s="31"/>
      <c r="T52" s="31"/>
    </row>
    <row r="53" customFormat="false" ht="13.5" hidden="true" customHeight="true" outlineLevel="0" collapsed="false">
      <c r="A53" s="31"/>
      <c r="B53" s="31"/>
      <c r="C53" s="31"/>
      <c r="D53" s="31"/>
      <c r="E53" s="31"/>
      <c r="F53" s="31"/>
      <c r="G53" s="31"/>
      <c r="H53" s="31"/>
      <c r="I53" s="31"/>
      <c r="J53" s="31"/>
      <c r="K53" s="31"/>
      <c r="L53" s="31"/>
      <c r="M53" s="31"/>
      <c r="N53" s="31"/>
      <c r="O53" s="31"/>
      <c r="P53" s="31"/>
      <c r="Q53" s="31"/>
      <c r="R53" s="31"/>
      <c r="S53" s="31"/>
      <c r="T53" s="31"/>
    </row>
    <row r="54" customFormat="false" ht="13.5" hidden="true" customHeight="true" outlineLevel="0" collapsed="false">
      <c r="A54" s="31"/>
      <c r="B54" s="31"/>
      <c r="C54" s="31"/>
      <c r="D54" s="31"/>
      <c r="E54" s="31"/>
      <c r="F54" s="31"/>
      <c r="G54" s="31"/>
      <c r="H54" s="31"/>
      <c r="I54" s="31"/>
      <c r="J54" s="31"/>
      <c r="K54" s="31"/>
      <c r="L54" s="31"/>
      <c r="M54" s="31"/>
      <c r="N54" s="31"/>
      <c r="O54" s="31"/>
      <c r="P54" s="31"/>
      <c r="Q54" s="31"/>
      <c r="R54" s="31"/>
      <c r="S54" s="31"/>
      <c r="T54" s="31"/>
    </row>
    <row r="55" customFormat="false" ht="13.5" hidden="true" customHeight="true" outlineLevel="0" collapsed="false">
      <c r="A55" s="31"/>
      <c r="B55" s="31"/>
      <c r="C55" s="31"/>
      <c r="D55" s="31"/>
      <c r="E55" s="31"/>
      <c r="F55" s="31"/>
      <c r="G55" s="31"/>
      <c r="H55" s="31"/>
      <c r="I55" s="31"/>
      <c r="J55" s="31"/>
      <c r="K55" s="31"/>
      <c r="L55" s="31"/>
      <c r="M55" s="31"/>
      <c r="N55" s="31"/>
      <c r="O55" s="31"/>
      <c r="P55" s="31"/>
      <c r="Q55" s="31"/>
      <c r="R55" s="31"/>
      <c r="S55" s="31"/>
      <c r="T55" s="31"/>
    </row>
    <row r="56" customFormat="false" ht="13.5" hidden="true" customHeight="true" outlineLevel="0" collapsed="false">
      <c r="A56" s="31"/>
      <c r="B56" s="31"/>
      <c r="C56" s="31"/>
      <c r="D56" s="31"/>
      <c r="E56" s="31"/>
      <c r="F56" s="31"/>
      <c r="G56" s="31"/>
      <c r="H56" s="31"/>
      <c r="I56" s="31"/>
      <c r="J56" s="31"/>
      <c r="K56" s="31"/>
      <c r="L56" s="31"/>
      <c r="M56" s="31"/>
      <c r="N56" s="31"/>
      <c r="O56" s="31"/>
      <c r="P56" s="31"/>
      <c r="Q56" s="31"/>
      <c r="R56" s="31"/>
      <c r="S56" s="31"/>
      <c r="T56" s="31"/>
    </row>
    <row r="57" customFormat="false" ht="13.5" hidden="true" customHeight="true" outlineLevel="0" collapsed="false">
      <c r="A57" s="31"/>
      <c r="B57" s="31"/>
      <c r="C57" s="31"/>
      <c r="D57" s="31"/>
      <c r="E57" s="31"/>
      <c r="F57" s="31"/>
      <c r="G57" s="31"/>
      <c r="H57" s="31"/>
      <c r="I57" s="31"/>
      <c r="J57" s="31"/>
      <c r="K57" s="31"/>
      <c r="L57" s="31"/>
      <c r="M57" s="31"/>
      <c r="N57" s="31"/>
      <c r="O57" s="31"/>
      <c r="P57" s="31"/>
      <c r="Q57" s="31"/>
      <c r="R57" s="31"/>
      <c r="S57" s="31"/>
      <c r="T57" s="31"/>
    </row>
    <row r="58" customFormat="false" ht="13.5" hidden="true" customHeight="true" outlineLevel="0" collapsed="false">
      <c r="A58" s="31"/>
      <c r="B58" s="31"/>
      <c r="C58" s="31"/>
      <c r="D58" s="31"/>
      <c r="E58" s="31"/>
      <c r="F58" s="31"/>
      <c r="G58" s="31"/>
      <c r="H58" s="31"/>
      <c r="I58" s="31"/>
      <c r="J58" s="31"/>
      <c r="K58" s="31"/>
      <c r="L58" s="31"/>
      <c r="M58" s="31"/>
      <c r="N58" s="31"/>
      <c r="O58" s="31"/>
      <c r="P58" s="31"/>
      <c r="Q58" s="31"/>
      <c r="R58" s="31"/>
      <c r="S58" s="31"/>
      <c r="T58" s="31"/>
    </row>
    <row r="59" customFormat="false" ht="13.5" hidden="true" customHeight="true" outlineLevel="0" collapsed="false">
      <c r="A59" s="31"/>
      <c r="B59" s="31"/>
      <c r="C59" s="31"/>
      <c r="D59" s="31"/>
      <c r="E59" s="31"/>
      <c r="F59" s="31"/>
      <c r="G59" s="31"/>
      <c r="H59" s="31"/>
      <c r="I59" s="31"/>
      <c r="J59" s="31"/>
      <c r="K59" s="31"/>
      <c r="L59" s="31"/>
      <c r="M59" s="31"/>
      <c r="N59" s="31"/>
      <c r="O59" s="31"/>
      <c r="P59" s="31"/>
      <c r="Q59" s="31"/>
      <c r="R59" s="31"/>
      <c r="S59" s="31"/>
      <c r="T59" s="31"/>
    </row>
    <row r="60" customFormat="false" ht="13.5" hidden="true" customHeight="true" outlineLevel="0" collapsed="false">
      <c r="A60" s="31"/>
      <c r="B60" s="31"/>
      <c r="C60" s="31"/>
      <c r="D60" s="31"/>
      <c r="E60" s="31"/>
      <c r="F60" s="31"/>
      <c r="G60" s="31"/>
      <c r="H60" s="31"/>
      <c r="I60" s="31"/>
      <c r="J60" s="31"/>
      <c r="K60" s="31"/>
      <c r="L60" s="31"/>
      <c r="M60" s="31"/>
      <c r="N60" s="31"/>
      <c r="O60" s="31"/>
      <c r="P60" s="31"/>
      <c r="Q60" s="31"/>
      <c r="R60" s="31"/>
      <c r="S60" s="31"/>
      <c r="T60" s="31"/>
    </row>
    <row r="61" customFormat="false" ht="12.75" hidden="false" customHeight="false" outlineLevel="0" collapsed="false">
      <c r="A61" s="31"/>
      <c r="B61" s="31"/>
      <c r="C61" s="31"/>
      <c r="D61" s="31"/>
      <c r="E61" s="31"/>
      <c r="F61" s="31"/>
      <c r="G61" s="31"/>
      <c r="H61" s="31"/>
      <c r="I61" s="31"/>
      <c r="J61" s="31"/>
      <c r="K61" s="31"/>
      <c r="L61" s="31"/>
      <c r="M61" s="31"/>
      <c r="N61" s="31"/>
      <c r="O61" s="31"/>
      <c r="P61" s="31"/>
      <c r="Q61" s="31"/>
      <c r="R61" s="31"/>
      <c r="S61" s="31"/>
      <c r="T61" s="31"/>
    </row>
    <row r="62" customFormat="false" ht="12.75" hidden="false" customHeight="false" outlineLevel="0" collapsed="false">
      <c r="A62" s="31"/>
      <c r="B62" s="31"/>
      <c r="C62" s="31"/>
      <c r="D62" s="31"/>
      <c r="E62" s="31"/>
      <c r="F62" s="31"/>
      <c r="G62" s="31"/>
      <c r="H62" s="31"/>
      <c r="I62" s="31"/>
      <c r="J62" s="31"/>
      <c r="K62" s="31"/>
      <c r="L62" s="31"/>
      <c r="M62" s="31"/>
      <c r="N62" s="31"/>
      <c r="O62" s="31"/>
      <c r="P62" s="31"/>
      <c r="Q62" s="31"/>
      <c r="R62" s="31"/>
      <c r="S62" s="31"/>
      <c r="T62" s="31"/>
    </row>
    <row r="63" customFormat="false" ht="12.75" hidden="false" customHeight="false" outlineLevel="0" collapsed="false">
      <c r="A63" s="31"/>
      <c r="B63" s="31"/>
      <c r="C63" s="31"/>
      <c r="D63" s="31"/>
      <c r="E63" s="31"/>
      <c r="F63" s="31"/>
      <c r="G63" s="31"/>
      <c r="H63" s="31"/>
      <c r="I63" s="31"/>
      <c r="J63" s="31"/>
      <c r="K63" s="31"/>
      <c r="L63" s="31"/>
      <c r="M63" s="31"/>
      <c r="N63" s="31"/>
      <c r="O63" s="31"/>
      <c r="P63" s="31"/>
      <c r="Q63" s="31"/>
      <c r="R63" s="31"/>
      <c r="S63" s="31"/>
      <c r="T63" s="31"/>
    </row>
    <row r="64" customFormat="false" ht="12.75" hidden="false" customHeight="false" outlineLevel="0" collapsed="false">
      <c r="A64" s="31"/>
      <c r="B64" s="31"/>
      <c r="C64" s="31"/>
      <c r="D64" s="31"/>
      <c r="E64" s="31"/>
      <c r="F64" s="31"/>
      <c r="G64" s="31"/>
      <c r="H64" s="31"/>
      <c r="I64" s="31"/>
      <c r="J64" s="31"/>
      <c r="K64" s="31"/>
      <c r="L64" s="31"/>
      <c r="M64" s="31"/>
      <c r="N64" s="31"/>
      <c r="O64" s="31"/>
      <c r="P64" s="31"/>
      <c r="Q64" s="31"/>
      <c r="R64" s="31"/>
      <c r="S64" s="31"/>
      <c r="T64" s="31"/>
    </row>
    <row r="65" customFormat="false" ht="12.75" hidden="false" customHeight="false" outlineLevel="0" collapsed="false">
      <c r="A65" s="31"/>
      <c r="B65" s="31"/>
      <c r="C65" s="31"/>
      <c r="D65" s="31"/>
      <c r="E65" s="31"/>
      <c r="F65" s="31"/>
      <c r="G65" s="31"/>
      <c r="H65" s="31"/>
      <c r="I65" s="31"/>
      <c r="J65" s="31"/>
      <c r="K65" s="31"/>
      <c r="L65" s="31"/>
      <c r="M65" s="31"/>
      <c r="N65" s="31"/>
      <c r="O65" s="31"/>
      <c r="P65" s="31"/>
      <c r="Q65" s="31"/>
      <c r="R65" s="31"/>
      <c r="S65" s="31"/>
      <c r="T65" s="31"/>
    </row>
    <row r="66" customFormat="false" ht="12.75" hidden="false" customHeight="false" outlineLevel="0" collapsed="false">
      <c r="A66" s="31"/>
      <c r="B66" s="31"/>
      <c r="C66" s="31"/>
      <c r="D66" s="31"/>
      <c r="E66" s="31"/>
      <c r="F66" s="31"/>
      <c r="G66" s="31"/>
      <c r="H66" s="31"/>
      <c r="I66" s="31"/>
      <c r="J66" s="31"/>
      <c r="K66" s="31"/>
      <c r="L66" s="31"/>
      <c r="M66" s="31"/>
      <c r="N66" s="31"/>
      <c r="O66" s="31"/>
      <c r="P66" s="31"/>
      <c r="Q66" s="31"/>
      <c r="R66" s="31"/>
      <c r="S66" s="31"/>
      <c r="T66" s="31"/>
    </row>
    <row r="67" customFormat="false" ht="12.75" hidden="false" customHeight="false" outlineLevel="0" collapsed="false">
      <c r="A67" s="31"/>
      <c r="B67" s="31"/>
      <c r="C67" s="31"/>
      <c r="D67" s="31"/>
      <c r="E67" s="31"/>
      <c r="F67" s="31"/>
      <c r="G67" s="31"/>
      <c r="H67" s="31"/>
      <c r="I67" s="31"/>
      <c r="J67" s="31"/>
      <c r="K67" s="31"/>
      <c r="L67" s="31"/>
      <c r="M67" s="31"/>
      <c r="N67" s="31"/>
      <c r="O67" s="31"/>
      <c r="P67" s="31"/>
      <c r="Q67" s="31"/>
      <c r="R67" s="31"/>
      <c r="S67" s="31"/>
      <c r="T67" s="31"/>
    </row>
    <row r="68" customFormat="false" ht="12.75" hidden="false" customHeight="false" outlineLevel="0" collapsed="false">
      <c r="A68" s="31"/>
      <c r="B68" s="31"/>
      <c r="C68" s="31"/>
      <c r="D68" s="31"/>
      <c r="E68" s="31"/>
      <c r="F68" s="31"/>
      <c r="G68" s="31"/>
      <c r="H68" s="31"/>
      <c r="I68" s="31"/>
      <c r="J68" s="31"/>
      <c r="K68" s="31"/>
      <c r="L68" s="31"/>
      <c r="M68" s="31"/>
      <c r="N68" s="31"/>
      <c r="O68" s="31"/>
      <c r="P68" s="31"/>
      <c r="Q68" s="31"/>
      <c r="R68" s="31"/>
      <c r="S68" s="31"/>
      <c r="T68" s="31"/>
    </row>
    <row r="69" customFormat="false" ht="12.75" hidden="false" customHeight="false" outlineLevel="0" collapsed="false">
      <c r="A69" s="31"/>
      <c r="B69" s="31"/>
      <c r="C69" s="31"/>
      <c r="D69" s="31"/>
      <c r="E69" s="31"/>
      <c r="F69" s="31"/>
      <c r="G69" s="31"/>
      <c r="H69" s="31"/>
      <c r="I69" s="31"/>
      <c r="J69" s="31"/>
      <c r="K69" s="31"/>
      <c r="L69" s="31"/>
      <c r="M69" s="31"/>
      <c r="N69" s="31"/>
      <c r="O69" s="31"/>
      <c r="P69" s="31"/>
      <c r="Q69" s="31"/>
      <c r="R69" s="31"/>
      <c r="S69" s="31"/>
      <c r="T69" s="31"/>
    </row>
    <row r="70" customFormat="false" ht="12.75" hidden="false" customHeight="false" outlineLevel="0" collapsed="false">
      <c r="A70" s="31"/>
      <c r="B70" s="31"/>
      <c r="C70" s="31"/>
      <c r="D70" s="31"/>
      <c r="E70" s="31"/>
      <c r="F70" s="31"/>
      <c r="G70" s="31"/>
      <c r="H70" s="31"/>
      <c r="I70" s="31"/>
      <c r="J70" s="31"/>
      <c r="K70" s="31"/>
      <c r="L70" s="31"/>
      <c r="M70" s="31"/>
      <c r="N70" s="31"/>
      <c r="O70" s="31"/>
      <c r="P70" s="31"/>
      <c r="Q70" s="31"/>
      <c r="R70" s="31"/>
      <c r="S70" s="31"/>
      <c r="T70" s="31"/>
    </row>
    <row r="71" customFormat="false" ht="12.75" hidden="false" customHeight="false" outlineLevel="0" collapsed="false">
      <c r="A71" s="31"/>
      <c r="B71" s="31"/>
      <c r="C71" s="31"/>
      <c r="D71" s="31"/>
      <c r="E71" s="31"/>
      <c r="F71" s="31"/>
      <c r="G71" s="31"/>
      <c r="H71" s="31"/>
      <c r="I71" s="31"/>
      <c r="J71" s="31"/>
      <c r="K71" s="31"/>
      <c r="L71" s="31"/>
      <c r="M71" s="31"/>
      <c r="N71" s="31"/>
      <c r="O71" s="31"/>
      <c r="P71" s="31"/>
      <c r="Q71" s="31"/>
      <c r="R71" s="31"/>
      <c r="S71" s="31"/>
      <c r="T71" s="31"/>
    </row>
    <row r="72" customFormat="false" ht="12.75" hidden="false" customHeight="false" outlineLevel="0" collapsed="false">
      <c r="A72" s="31"/>
      <c r="B72" s="31"/>
      <c r="C72" s="31"/>
      <c r="D72" s="31"/>
      <c r="E72" s="31"/>
      <c r="F72" s="31"/>
      <c r="G72" s="31"/>
      <c r="H72" s="31"/>
      <c r="I72" s="31"/>
      <c r="J72" s="31"/>
      <c r="K72" s="31"/>
      <c r="L72" s="31"/>
      <c r="M72" s="31"/>
      <c r="N72" s="31"/>
      <c r="O72" s="31"/>
      <c r="P72" s="31"/>
      <c r="Q72" s="31"/>
      <c r="R72" s="31"/>
      <c r="S72" s="31"/>
      <c r="T72" s="31"/>
    </row>
    <row r="73" customFormat="false" ht="12.75" hidden="false" customHeight="false" outlineLevel="0" collapsed="false">
      <c r="A73" s="31"/>
      <c r="B73" s="31"/>
      <c r="C73" s="31"/>
      <c r="D73" s="31"/>
      <c r="E73" s="31"/>
      <c r="F73" s="31"/>
      <c r="G73" s="31"/>
      <c r="H73" s="31"/>
      <c r="I73" s="31"/>
      <c r="J73" s="31"/>
      <c r="K73" s="31"/>
      <c r="L73" s="31"/>
      <c r="M73" s="31"/>
      <c r="N73" s="31"/>
      <c r="O73" s="31"/>
      <c r="P73" s="31"/>
      <c r="Q73" s="31"/>
      <c r="R73" s="31"/>
      <c r="S73" s="31"/>
      <c r="T73" s="31"/>
    </row>
    <row r="74" customFormat="false" ht="12.75" hidden="false" customHeight="false" outlineLevel="0" collapsed="false">
      <c r="A74" s="31"/>
      <c r="B74" s="31"/>
      <c r="C74" s="31"/>
      <c r="D74" s="31"/>
      <c r="E74" s="31"/>
      <c r="F74" s="31"/>
      <c r="G74" s="31"/>
      <c r="H74" s="31"/>
      <c r="I74" s="31"/>
      <c r="J74" s="31"/>
      <c r="K74" s="31"/>
      <c r="L74" s="31"/>
      <c r="M74" s="31"/>
      <c r="N74" s="31"/>
      <c r="O74" s="31"/>
      <c r="P74" s="31"/>
      <c r="Q74" s="31"/>
      <c r="R74" s="31"/>
      <c r="S74" s="31"/>
      <c r="T74" s="31"/>
    </row>
    <row r="75" customFormat="false" ht="12.75" hidden="false" customHeight="false" outlineLevel="0" collapsed="false">
      <c r="A75" s="31"/>
      <c r="B75" s="31"/>
      <c r="C75" s="31"/>
      <c r="D75" s="31"/>
      <c r="E75" s="31"/>
      <c r="F75" s="31"/>
      <c r="G75" s="31"/>
      <c r="H75" s="31"/>
      <c r="I75" s="31"/>
      <c r="J75" s="31"/>
      <c r="K75" s="31"/>
      <c r="L75" s="31"/>
      <c r="M75" s="31"/>
      <c r="N75" s="31"/>
      <c r="O75" s="31"/>
      <c r="P75" s="31"/>
      <c r="Q75" s="31"/>
      <c r="R75" s="31"/>
      <c r="S75" s="31"/>
      <c r="T75" s="31"/>
    </row>
    <row r="76" customFormat="false" ht="12.75" hidden="false" customHeight="false" outlineLevel="0" collapsed="false">
      <c r="A76" s="31"/>
      <c r="B76" s="31"/>
      <c r="C76" s="31"/>
      <c r="D76" s="31"/>
      <c r="E76" s="31"/>
      <c r="F76" s="31"/>
      <c r="G76" s="31"/>
      <c r="H76" s="31"/>
      <c r="I76" s="31"/>
      <c r="J76" s="31"/>
      <c r="K76" s="31"/>
      <c r="L76" s="31"/>
      <c r="M76" s="31"/>
      <c r="N76" s="31"/>
      <c r="O76" s="31"/>
      <c r="P76" s="31"/>
      <c r="Q76" s="31"/>
      <c r="R76" s="31"/>
      <c r="S76" s="31"/>
      <c r="T76" s="31"/>
    </row>
    <row r="77" customFormat="false" ht="12.75" hidden="false" customHeight="false" outlineLevel="0" collapsed="false">
      <c r="A77" s="31"/>
      <c r="B77" s="31"/>
      <c r="C77" s="31"/>
      <c r="D77" s="31"/>
      <c r="E77" s="31"/>
      <c r="F77" s="31"/>
      <c r="G77" s="31"/>
      <c r="H77" s="31"/>
      <c r="I77" s="31"/>
      <c r="J77" s="31"/>
      <c r="K77" s="31"/>
      <c r="L77" s="31"/>
      <c r="M77" s="31"/>
      <c r="N77" s="31"/>
      <c r="O77" s="31"/>
      <c r="P77" s="31"/>
      <c r="Q77" s="31"/>
      <c r="R77" s="31"/>
      <c r="S77" s="31"/>
      <c r="T77" s="31"/>
    </row>
    <row r="78" customFormat="false" ht="12.75" hidden="false" customHeight="false" outlineLevel="0" collapsed="false">
      <c r="A78" s="31"/>
      <c r="B78" s="31"/>
      <c r="C78" s="31"/>
      <c r="D78" s="31"/>
      <c r="E78" s="31"/>
      <c r="F78" s="31"/>
      <c r="G78" s="31"/>
      <c r="H78" s="31"/>
      <c r="I78" s="31"/>
      <c r="J78" s="31"/>
      <c r="K78" s="31"/>
      <c r="L78" s="31"/>
      <c r="M78" s="31"/>
      <c r="N78" s="31"/>
      <c r="O78" s="31"/>
      <c r="P78" s="31"/>
      <c r="Q78" s="31"/>
      <c r="R78" s="31"/>
      <c r="S78" s="31"/>
      <c r="T78" s="31"/>
    </row>
    <row r="79" customFormat="false" ht="12.75" hidden="false" customHeight="false" outlineLevel="0" collapsed="false">
      <c r="A79" s="31"/>
      <c r="B79" s="31"/>
      <c r="C79" s="31"/>
      <c r="D79" s="31"/>
      <c r="E79" s="31"/>
      <c r="F79" s="31"/>
      <c r="G79" s="31"/>
      <c r="H79" s="31"/>
      <c r="I79" s="31"/>
      <c r="J79" s="31"/>
      <c r="K79" s="31"/>
      <c r="L79" s="31"/>
      <c r="M79" s="31"/>
      <c r="N79" s="31"/>
      <c r="O79" s="31"/>
      <c r="P79" s="31"/>
      <c r="Q79" s="31"/>
      <c r="R79" s="31"/>
      <c r="S79" s="31"/>
      <c r="T79" s="31"/>
    </row>
    <row r="80" customFormat="false" ht="12.75" hidden="false" customHeight="false" outlineLevel="0" collapsed="false">
      <c r="A80" s="31"/>
      <c r="B80" s="31"/>
      <c r="C80" s="31"/>
      <c r="D80" s="31"/>
      <c r="E80" s="31"/>
      <c r="F80" s="31"/>
      <c r="G80" s="31"/>
      <c r="H80" s="31"/>
      <c r="I80" s="31"/>
      <c r="J80" s="31"/>
      <c r="K80" s="31"/>
      <c r="L80" s="31"/>
      <c r="M80" s="31"/>
      <c r="N80" s="31"/>
      <c r="O80" s="31"/>
      <c r="P80" s="31"/>
      <c r="Q80" s="31"/>
      <c r="R80" s="31"/>
      <c r="S80" s="31"/>
      <c r="T80" s="31"/>
    </row>
  </sheetData>
  <mergeCells count="4">
    <mergeCell ref="A1:J1"/>
    <mergeCell ref="H6:I6"/>
    <mergeCell ref="A20:I20"/>
    <mergeCell ref="A21:I2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U5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2" width="36"/>
    <col collapsed="false" customWidth="true" hidden="false" outlineLevel="0" max="2" min="2" style="2" width="12"/>
    <col collapsed="false" customWidth="true" hidden="false" outlineLevel="0" max="3" min="3" style="2" width="34"/>
    <col collapsed="false" customWidth="true" hidden="false" outlineLevel="0" max="6" min="4" style="2" width="10"/>
    <col collapsed="false" customWidth="true" hidden="false" outlineLevel="0" max="7" min="7" style="2" width="13"/>
    <col collapsed="false" customWidth="true" hidden="false" outlineLevel="0" max="8" min="8" style="2" width="14"/>
    <col collapsed="false" customWidth="true" hidden="false" outlineLevel="0" max="12" min="9" style="2" width="10"/>
  </cols>
  <sheetData>
    <row r="1" customFormat="false" ht="14.25" hidden="false" customHeight="true" outlineLevel="0" collapsed="false">
      <c r="A1" s="39" t="s">
        <v>1482</v>
      </c>
      <c r="B1" s="39"/>
      <c r="C1" s="39"/>
      <c r="D1" s="39"/>
      <c r="E1" s="39"/>
      <c r="F1" s="39"/>
      <c r="G1" s="39"/>
      <c r="H1" s="39"/>
      <c r="I1" s="39"/>
      <c r="J1" s="39"/>
      <c r="K1" s="3"/>
      <c r="L1" s="3"/>
      <c r="M1" s="3"/>
      <c r="N1" s="3"/>
      <c r="O1" s="3"/>
      <c r="P1" s="3"/>
      <c r="Q1" s="3"/>
      <c r="R1" s="3"/>
      <c r="S1" s="3"/>
      <c r="T1" s="3"/>
      <c r="U1" s="3"/>
    </row>
    <row r="2" customFormat="false" ht="12.75" hidden="false" customHeight="false" outlineLevel="0" collapsed="false">
      <c r="A2" s="5"/>
      <c r="B2" s="5"/>
      <c r="C2" s="5"/>
      <c r="D2" s="5"/>
      <c r="E2" s="5"/>
      <c r="F2" s="5"/>
      <c r="G2" s="5"/>
      <c r="H2" s="5"/>
      <c r="I2" s="5"/>
      <c r="J2" s="5"/>
      <c r="K2" s="5"/>
      <c r="L2" s="5"/>
      <c r="M2" s="5"/>
      <c r="N2" s="5"/>
      <c r="O2" s="5"/>
      <c r="P2" s="5"/>
      <c r="Q2" s="5"/>
      <c r="R2" s="5"/>
      <c r="S2" s="5"/>
      <c r="T2" s="5"/>
      <c r="U2" s="5"/>
    </row>
    <row r="3" customFormat="false" ht="14.25" hidden="false" customHeight="true" outlineLevel="0" collapsed="false">
      <c r="A3" s="36" t="s">
        <v>1483</v>
      </c>
      <c r="B3" s="5"/>
      <c r="C3" s="5"/>
      <c r="D3" s="5"/>
      <c r="E3" s="5"/>
      <c r="F3" s="5"/>
      <c r="G3" s="5"/>
      <c r="H3" s="5"/>
      <c r="I3" s="5"/>
      <c r="J3" s="5"/>
      <c r="K3" s="5"/>
      <c r="L3" s="5"/>
      <c r="M3" s="5"/>
      <c r="N3" s="5"/>
      <c r="O3" s="5"/>
      <c r="P3" s="5"/>
      <c r="Q3" s="5"/>
      <c r="R3" s="5"/>
      <c r="S3" s="5"/>
      <c r="T3" s="5"/>
      <c r="U3" s="5"/>
    </row>
    <row r="4" customFormat="false" ht="14.25" hidden="false" customHeight="true" outlineLevel="0" collapsed="false">
      <c r="A4" s="36" t="s">
        <v>1484</v>
      </c>
      <c r="B4" s="5"/>
      <c r="C4" s="5"/>
      <c r="D4" s="5"/>
      <c r="E4" s="5"/>
      <c r="F4" s="5"/>
      <c r="G4" s="5"/>
      <c r="H4" s="5"/>
      <c r="I4" s="5"/>
      <c r="J4" s="5"/>
      <c r="K4" s="5"/>
      <c r="L4" s="5"/>
      <c r="M4" s="5"/>
      <c r="N4" s="5"/>
      <c r="O4" s="5"/>
      <c r="P4" s="5"/>
      <c r="Q4" s="5"/>
      <c r="R4" s="5"/>
      <c r="S4" s="5"/>
      <c r="T4" s="5"/>
      <c r="U4" s="5"/>
    </row>
    <row r="5" customFormat="false" ht="12.75" hidden="false" customHeight="false" outlineLevel="0" collapsed="false">
      <c r="A5" s="5"/>
      <c r="B5" s="5"/>
      <c r="C5" s="5"/>
      <c r="D5" s="5"/>
      <c r="E5" s="5"/>
      <c r="F5" s="5"/>
      <c r="G5" s="5"/>
      <c r="H5" s="5"/>
      <c r="I5" s="5"/>
      <c r="J5" s="5"/>
      <c r="K5" s="5"/>
      <c r="L5" s="5"/>
      <c r="M5" s="5"/>
      <c r="N5" s="5"/>
      <c r="O5" s="5"/>
      <c r="P5" s="5"/>
      <c r="Q5" s="5"/>
      <c r="R5" s="5"/>
      <c r="S5" s="5"/>
      <c r="T5" s="5"/>
      <c r="U5" s="5"/>
    </row>
    <row r="6" customFormat="false" ht="14.25" hidden="false" customHeight="true" outlineLevel="0" collapsed="false">
      <c r="A6" s="65" t="s">
        <v>1485</v>
      </c>
      <c r="B6" s="5"/>
      <c r="C6" s="5"/>
      <c r="D6" s="5"/>
      <c r="E6" s="5"/>
      <c r="F6" s="5"/>
      <c r="G6" s="5"/>
      <c r="H6" s="5"/>
      <c r="I6" s="5"/>
      <c r="J6" s="5"/>
      <c r="K6" s="5"/>
      <c r="L6" s="5"/>
      <c r="M6" s="5"/>
      <c r="N6" s="5"/>
      <c r="O6" s="5"/>
      <c r="P6" s="5"/>
      <c r="Q6" s="5"/>
      <c r="R6" s="5"/>
      <c r="S6" s="5"/>
      <c r="T6" s="5"/>
      <c r="U6" s="5"/>
    </row>
    <row r="7" customFormat="false" ht="14.25" hidden="false" customHeight="true" outlineLevel="0" collapsed="false">
      <c r="A7" s="36" t="s">
        <v>1486</v>
      </c>
      <c r="B7" s="36" t="n">
        <v>0.95</v>
      </c>
      <c r="C7" s="5"/>
      <c r="D7" s="5"/>
      <c r="E7" s="5"/>
      <c r="F7" s="5"/>
      <c r="G7" s="5"/>
      <c r="H7" s="49"/>
      <c r="I7" s="5"/>
      <c r="J7" s="5"/>
      <c r="K7" s="5"/>
      <c r="L7" s="5"/>
      <c r="M7" s="36" t="s">
        <v>1487</v>
      </c>
      <c r="N7" s="36" t="s">
        <v>1488</v>
      </c>
      <c r="O7" s="5"/>
      <c r="P7" s="36" t="s">
        <v>1489</v>
      </c>
      <c r="Q7" s="5"/>
      <c r="R7" s="5"/>
      <c r="S7" s="5"/>
      <c r="T7" s="5"/>
      <c r="U7" s="5"/>
    </row>
    <row r="8" customFormat="false" ht="14.25" hidden="false" customHeight="true" outlineLevel="0" collapsed="false">
      <c r="A8" s="37" t="s">
        <v>1490</v>
      </c>
      <c r="B8" s="36" t="n">
        <v>0.05</v>
      </c>
      <c r="C8" s="5"/>
      <c r="D8" s="5"/>
      <c r="E8" s="5"/>
      <c r="F8" s="5"/>
      <c r="G8" s="5"/>
      <c r="H8" s="5"/>
      <c r="I8" s="5"/>
      <c r="J8" s="5"/>
      <c r="K8" s="5"/>
      <c r="L8" s="49"/>
      <c r="M8" s="36" t="n">
        <f aca="false">L8+ROW()/1000000</f>
        <v>8E-006</v>
      </c>
      <c r="N8" s="36" t="n">
        <f aca="false">RANK(M8,$M$8:$M$14,0)</f>
        <v>7</v>
      </c>
      <c r="O8" s="5"/>
      <c r="P8" s="36" t="s">
        <v>930</v>
      </c>
      <c r="Q8" s="36" t="s">
        <v>931</v>
      </c>
      <c r="R8" s="36" t="s">
        <v>932</v>
      </c>
      <c r="S8" s="36" t="s">
        <v>1491</v>
      </c>
      <c r="T8" s="36" t="s">
        <v>1492</v>
      </c>
      <c r="U8" s="36" t="s">
        <v>1493</v>
      </c>
    </row>
    <row r="9" customFormat="false" ht="14.25" hidden="false" customHeight="true" outlineLevel="0" collapsed="false">
      <c r="A9" s="37" t="s">
        <v>1494</v>
      </c>
      <c r="B9" s="66" t="n">
        <f aca="false">CANON!B58</f>
        <v>0.2</v>
      </c>
      <c r="C9" s="37"/>
      <c r="D9" s="37"/>
      <c r="E9" s="37"/>
      <c r="F9" s="37"/>
      <c r="G9" s="5"/>
      <c r="H9" s="5"/>
      <c r="I9" s="5"/>
      <c r="J9" s="5"/>
      <c r="K9" s="5"/>
      <c r="L9" s="49"/>
      <c r="M9" s="36" t="n">
        <f aca="false">L9+ROW()/1000000</f>
        <v>9E-006</v>
      </c>
      <c r="N9" s="36" t="n">
        <f aca="false">RANK(M9,$M$8:$M$14,0)</f>
        <v>6</v>
      </c>
      <c r="O9" s="5"/>
      <c r="P9" s="36" t="n">
        <f aca="false">INDEX($J$8:$J$14,MATCH(1,$N$8:$N$14,0))</f>
        <v>0</v>
      </c>
      <c r="Q9" s="36" t="str">
        <f aca="false">IFERROR(VLOOKUP(P9,$J$8:$L$14,2,FALSE()),"")</f>
        <v/>
      </c>
      <c r="R9" s="36" t="str">
        <f aca="false">IFERROR(VLOOKUP(P9,$J$8:$L$14,3,FALSE()),"")</f>
        <v/>
      </c>
      <c r="S9" s="36" t="str">
        <f aca="false">IFERROR(Q9,"")</f>
        <v/>
      </c>
      <c r="T9" s="5"/>
      <c r="U9" s="36" t="str">
        <f aca="false">IFERROR(T9*R9,"")</f>
        <v/>
      </c>
    </row>
    <row r="10" customFormat="false" ht="14.25" hidden="false" customHeight="true" outlineLevel="0" collapsed="false">
      <c r="A10" s="36" t="s">
        <v>1495</v>
      </c>
      <c r="B10" s="36" t="s">
        <v>143</v>
      </c>
      <c r="C10" s="5"/>
      <c r="D10" s="5"/>
      <c r="E10" s="5"/>
      <c r="F10" s="5"/>
      <c r="G10" s="5"/>
      <c r="H10" s="5"/>
      <c r="I10" s="5"/>
      <c r="J10" s="5"/>
      <c r="K10" s="5"/>
      <c r="L10" s="49"/>
      <c r="M10" s="36" t="n">
        <f aca="false">L10+ROW()/1000000</f>
        <v>1E-005</v>
      </c>
      <c r="N10" s="36" t="n">
        <f aca="false">RANK(M10,$M$8:$M$14,0)</f>
        <v>5</v>
      </c>
      <c r="O10" s="5"/>
      <c r="P10" s="36" t="n">
        <f aca="false">INDEX($J$8:$J$14,MATCH(2,$N$8:$N$14,0))</f>
        <v>0</v>
      </c>
      <c r="Q10" s="36" t="str">
        <f aca="false">IFERROR(VLOOKUP(P10,$J$8:$L$14,2,FALSE()),"")</f>
        <v/>
      </c>
      <c r="R10" s="36" t="str">
        <f aca="false">IFERROR(VLOOKUP(P10,$J$8:$L$14,3,FALSE()),"")</f>
        <v/>
      </c>
      <c r="S10" s="36" t="str">
        <f aca="false">IFERROR(S9+Q10,"")</f>
        <v/>
      </c>
      <c r="T10" s="5"/>
      <c r="U10" s="36" t="str">
        <f aca="false">IFERROR(T10*R10,"")</f>
        <v/>
      </c>
    </row>
    <row r="11" customFormat="false" ht="14.25" hidden="false" customHeight="true" outlineLevel="0" collapsed="false">
      <c r="A11" s="5"/>
      <c r="B11" s="5"/>
      <c r="C11" s="5"/>
      <c r="D11" s="5"/>
      <c r="E11" s="5"/>
      <c r="F11" s="5"/>
      <c r="G11" s="5"/>
      <c r="H11" s="5"/>
      <c r="I11" s="5"/>
      <c r="J11" s="5"/>
      <c r="K11" s="5"/>
      <c r="L11" s="49"/>
      <c r="M11" s="36" t="n">
        <f aca="false">L11+ROW()/1000000</f>
        <v>1.1E-005</v>
      </c>
      <c r="N11" s="36" t="n">
        <f aca="false">RANK(M11,$M$8:$M$14,0)</f>
        <v>4</v>
      </c>
      <c r="O11" s="5"/>
      <c r="P11" s="36" t="n">
        <f aca="false">INDEX($J$8:$J$14,MATCH(3,$N$8:$N$14,0))</f>
        <v>0</v>
      </c>
      <c r="Q11" s="36" t="str">
        <f aca="false">IFERROR(VLOOKUP(P11,$J$8:$L$14,2,FALSE()),"")</f>
        <v/>
      </c>
      <c r="R11" s="36" t="str">
        <f aca="false">IFERROR(VLOOKUP(P11,$J$8:$L$14,3,FALSE()),"")</f>
        <v/>
      </c>
      <c r="S11" s="36" t="str">
        <f aca="false">IFERROR(S10+Q11,"")</f>
        <v/>
      </c>
      <c r="T11" s="5"/>
      <c r="U11" s="36" t="str">
        <f aca="false">IFERROR(T11*R11,"")</f>
        <v/>
      </c>
    </row>
    <row r="12" customFormat="false" ht="14.25" hidden="false" customHeight="true" outlineLevel="0" collapsed="false">
      <c r="A12" s="65" t="s">
        <v>1496</v>
      </c>
      <c r="B12" s="5"/>
      <c r="C12" s="5"/>
      <c r="D12" s="5"/>
      <c r="E12" s="5"/>
      <c r="F12" s="5"/>
      <c r="G12" s="5"/>
      <c r="H12" s="5"/>
      <c r="I12" s="5"/>
      <c r="J12" s="5"/>
      <c r="K12" s="5"/>
      <c r="L12" s="49"/>
      <c r="M12" s="36" t="n">
        <f aca="false">L12+ROW()/1000000</f>
        <v>1.2E-005</v>
      </c>
      <c r="N12" s="36" t="n">
        <f aca="false">RANK(M12,$M$8:$M$14,0)</f>
        <v>3</v>
      </c>
      <c r="O12" s="5"/>
      <c r="P12" s="36" t="n">
        <f aca="false">INDEX($J$8:$J$14,MATCH(4,$N$8:$N$14,0))</f>
        <v>0</v>
      </c>
      <c r="Q12" s="36" t="str">
        <f aca="false">IFERROR(VLOOKUP(P12,$J$8:$L$14,2,FALSE()),"")</f>
        <v/>
      </c>
      <c r="R12" s="36" t="str">
        <f aca="false">IFERROR(VLOOKUP(P12,$J$8:$L$14,3,FALSE()),"")</f>
        <v/>
      </c>
      <c r="S12" s="36" t="str">
        <f aca="false">IFERROR(S11+Q12,"")</f>
        <v/>
      </c>
      <c r="T12" s="5"/>
      <c r="U12" s="36" t="str">
        <f aca="false">IFERROR(T12*R12,"")</f>
        <v/>
      </c>
    </row>
    <row r="13" customFormat="false" ht="14.25" hidden="false" customHeight="true" outlineLevel="0" collapsed="false">
      <c r="A13" s="36" t="s">
        <v>1497</v>
      </c>
      <c r="B13" s="5"/>
      <c r="C13" s="5"/>
      <c r="D13" s="5"/>
      <c r="E13" s="5"/>
      <c r="F13" s="5"/>
      <c r="G13" s="5"/>
      <c r="H13" s="5"/>
      <c r="I13" s="5"/>
      <c r="J13" s="5"/>
      <c r="K13" s="5"/>
      <c r="L13" s="49"/>
      <c r="M13" s="36" t="n">
        <f aca="false">L13+ROW()/1000000</f>
        <v>1.3E-005</v>
      </c>
      <c r="N13" s="36" t="n">
        <f aca="false">RANK(M13,$M$8:$M$14,0)</f>
        <v>2</v>
      </c>
      <c r="O13" s="5"/>
      <c r="P13" s="36" t="n">
        <f aca="false">INDEX($J$8:$J$14,MATCH(5,$N$8:$N$14,0))</f>
        <v>0</v>
      </c>
      <c r="Q13" s="36" t="str">
        <f aca="false">IFERROR(VLOOKUP(P13,$J$8:$L$14,2,FALSE()),"")</f>
        <v/>
      </c>
      <c r="R13" s="36" t="str">
        <f aca="false">IFERROR(VLOOKUP(P13,$J$8:$L$14,3,FALSE()),"")</f>
        <v/>
      </c>
      <c r="S13" s="36" t="str">
        <f aca="false">IFERROR(S12+Q13,"")</f>
        <v/>
      </c>
      <c r="T13" s="5"/>
      <c r="U13" s="36" t="str">
        <f aca="false">IFERROR(T13*R13,"")</f>
        <v/>
      </c>
    </row>
    <row r="14" customFormat="false" ht="14.25" hidden="false" customHeight="true" outlineLevel="0" collapsed="false">
      <c r="A14" s="65" t="s">
        <v>1488</v>
      </c>
      <c r="B14" s="65" t="s">
        <v>930</v>
      </c>
      <c r="C14" s="65" t="s">
        <v>932</v>
      </c>
      <c r="D14" s="65" t="s">
        <v>931</v>
      </c>
      <c r="E14" s="65" t="s">
        <v>1491</v>
      </c>
      <c r="F14" s="65" t="s">
        <v>1498</v>
      </c>
      <c r="G14" s="65" t="s">
        <v>1499</v>
      </c>
      <c r="H14" s="65" t="s">
        <v>1500</v>
      </c>
      <c r="I14" s="5"/>
      <c r="J14" s="5"/>
      <c r="K14" s="5"/>
      <c r="L14" s="49"/>
      <c r="M14" s="36" t="n">
        <f aca="false">L14+ROW()/1000000</f>
        <v>1.4E-005</v>
      </c>
      <c r="N14" s="36" t="n">
        <f aca="false">RANK(M14,$M$8:$M$14,0)</f>
        <v>1</v>
      </c>
      <c r="O14" s="5"/>
      <c r="P14" s="36" t="n">
        <f aca="false">INDEX($J$8:$J$14,MATCH(6,$N$8:$N$14,0))</f>
        <v>0</v>
      </c>
      <c r="Q14" s="36" t="str">
        <f aca="false">IFERROR(VLOOKUP(P14,$J$8:$L$14,2,FALSE()),"")</f>
        <v/>
      </c>
      <c r="R14" s="36" t="str">
        <f aca="false">IFERROR(VLOOKUP(P14,$J$8:$L$14,3,FALSE()),"")</f>
        <v/>
      </c>
      <c r="S14" s="36" t="str">
        <f aca="false">IFERROR(S13+Q14,"")</f>
        <v/>
      </c>
      <c r="T14" s="5"/>
      <c r="U14" s="36" t="str">
        <f aca="false">IFERROR(T14*R14,"")</f>
        <v/>
      </c>
    </row>
    <row r="15" customFormat="false" ht="14.25" hidden="false" customHeight="true" outlineLevel="0" collapsed="false">
      <c r="A15" s="36" t="n">
        <v>1</v>
      </c>
      <c r="B15" s="36" t="s">
        <v>953</v>
      </c>
      <c r="C15" s="36" t="n">
        <v>0.0235</v>
      </c>
      <c r="D15" s="36" t="n">
        <v>0.03</v>
      </c>
      <c r="E15" s="36" t="n">
        <v>0.03</v>
      </c>
      <c r="F15" s="36" t="s">
        <v>15</v>
      </c>
      <c r="G15" s="36" t="n">
        <v>0.03</v>
      </c>
      <c r="H15" s="49" t="n">
        <v>0.000705</v>
      </c>
      <c r="I15" s="5"/>
      <c r="J15" s="5"/>
      <c r="K15" s="5"/>
      <c r="L15" s="5"/>
      <c r="M15" s="5"/>
      <c r="N15" s="5"/>
      <c r="O15" s="5"/>
      <c r="P15" s="36" t="n">
        <f aca="false">INDEX($J$8:$J$14,MATCH(7,$N$8:$N$14,0))</f>
        <v>0</v>
      </c>
      <c r="Q15" s="36" t="str">
        <f aca="false">IFERROR(VLOOKUP(P15,$J$8:$L$14,2,FALSE()),"")</f>
        <v/>
      </c>
      <c r="R15" s="36" t="str">
        <f aca="false">IFERROR(VLOOKUP(P15,$J$8:$L$14,3,FALSE()),"")</f>
        <v/>
      </c>
      <c r="S15" s="36" t="str">
        <f aca="false">IFERROR(S14+Q15,"")</f>
        <v/>
      </c>
      <c r="T15" s="5"/>
      <c r="U15" s="36" t="str">
        <f aca="false">IFERROR(T15*R15,"")</f>
        <v/>
      </c>
    </row>
    <row r="16" customFormat="false" ht="14.25" hidden="false" customHeight="true" outlineLevel="0" collapsed="false">
      <c r="A16" s="36" t="n">
        <v>2</v>
      </c>
      <c r="B16" s="36" t="s">
        <v>949</v>
      </c>
      <c r="C16" s="36" t="n">
        <v>0.0195</v>
      </c>
      <c r="D16" s="36" t="n">
        <v>0.07</v>
      </c>
      <c r="E16" s="36" t="n">
        <v>0.1</v>
      </c>
      <c r="F16" s="36" t="s">
        <v>1501</v>
      </c>
      <c r="G16" s="36" t="n">
        <v>0.02</v>
      </c>
      <c r="H16" s="36" t="n">
        <v>0.00039</v>
      </c>
      <c r="I16" s="5"/>
      <c r="J16" s="5"/>
      <c r="K16" s="5"/>
      <c r="L16" s="5"/>
      <c r="M16" s="5"/>
      <c r="N16" s="5"/>
      <c r="O16" s="5"/>
      <c r="P16" s="5"/>
      <c r="Q16" s="5"/>
      <c r="R16" s="5"/>
      <c r="S16" s="5"/>
      <c r="T16" s="5"/>
      <c r="U16" s="5"/>
    </row>
    <row r="17" customFormat="false" ht="14.25" hidden="false" customHeight="true" outlineLevel="0" collapsed="false">
      <c r="A17" s="36" t="n">
        <v>3</v>
      </c>
      <c r="B17" s="36" t="s">
        <v>947</v>
      </c>
      <c r="C17" s="36" t="n">
        <v>0.0175</v>
      </c>
      <c r="D17" s="36" t="n">
        <v>0.08</v>
      </c>
      <c r="E17" s="36" t="n">
        <v>0.18</v>
      </c>
      <c r="F17" s="36" t="s">
        <v>146</v>
      </c>
      <c r="G17" s="36" t="n">
        <v>0</v>
      </c>
      <c r="H17" s="36" t="n">
        <v>0</v>
      </c>
      <c r="I17" s="5"/>
      <c r="J17" s="5"/>
      <c r="K17" s="5"/>
      <c r="L17" s="5"/>
      <c r="M17" s="5"/>
      <c r="N17" s="5"/>
      <c r="O17" s="5"/>
      <c r="P17" s="5"/>
      <c r="Q17" s="5"/>
      <c r="R17" s="5"/>
      <c r="S17" s="5"/>
      <c r="T17" s="5"/>
      <c r="U17" s="5"/>
    </row>
    <row r="18" customFormat="false" ht="14.25" hidden="false" customHeight="true" outlineLevel="0" collapsed="false">
      <c r="A18" s="37" t="n">
        <v>4</v>
      </c>
      <c r="B18" s="36" t="s">
        <v>951</v>
      </c>
      <c r="C18" s="36" t="n">
        <v>0.0135</v>
      </c>
      <c r="D18" s="36" t="n">
        <v>0.05</v>
      </c>
      <c r="E18" s="36" t="n">
        <v>0.23</v>
      </c>
      <c r="F18" s="36" t="s">
        <v>146</v>
      </c>
      <c r="G18" s="36" t="n">
        <v>0</v>
      </c>
      <c r="H18" s="36" t="n">
        <v>0</v>
      </c>
      <c r="I18" s="5"/>
      <c r="J18" s="5"/>
      <c r="K18" s="5"/>
      <c r="L18" s="5"/>
      <c r="M18" s="36" t="s">
        <v>1487</v>
      </c>
      <c r="N18" s="36" t="s">
        <v>1488</v>
      </c>
      <c r="O18" s="5"/>
      <c r="P18" s="36" t="s">
        <v>1489</v>
      </c>
      <c r="Q18" s="5"/>
      <c r="R18" s="5"/>
      <c r="S18" s="5"/>
      <c r="T18" s="5"/>
      <c r="U18" s="5"/>
    </row>
    <row r="19" customFormat="false" ht="14.25" hidden="false" customHeight="true" outlineLevel="0" collapsed="false">
      <c r="A19" s="67" t="n">
        <v>5</v>
      </c>
      <c r="B19" s="36" t="s">
        <v>955</v>
      </c>
      <c r="C19" s="36" t="n">
        <v>0.01</v>
      </c>
      <c r="D19" s="36" t="n">
        <v>0.02</v>
      </c>
      <c r="E19" s="36" t="n">
        <v>0.25</v>
      </c>
      <c r="F19" s="36" t="s">
        <v>146</v>
      </c>
      <c r="G19" s="36" t="n">
        <v>0</v>
      </c>
      <c r="H19" s="36" t="n">
        <v>0</v>
      </c>
      <c r="I19" s="5"/>
      <c r="J19" s="5"/>
      <c r="K19" s="5"/>
      <c r="L19" s="49"/>
      <c r="M19" s="36" t="n">
        <f aca="false">L19+ROW()/1000000</f>
        <v>1.9E-005</v>
      </c>
      <c r="N19" s="36" t="n">
        <f aca="false">RANK(M19,$M$19:$M$25,0)</f>
        <v>7</v>
      </c>
      <c r="O19" s="5"/>
      <c r="P19" s="36" t="s">
        <v>930</v>
      </c>
      <c r="Q19" s="36" t="s">
        <v>931</v>
      </c>
      <c r="R19" s="36" t="s">
        <v>932</v>
      </c>
      <c r="S19" s="36" t="s">
        <v>1491</v>
      </c>
      <c r="T19" s="36" t="s">
        <v>1492</v>
      </c>
      <c r="U19" s="36" t="s">
        <v>1493</v>
      </c>
    </row>
    <row r="20" customFormat="false" ht="14.25" hidden="false" customHeight="true" outlineLevel="0" collapsed="false">
      <c r="A20" s="36" t="n">
        <v>6</v>
      </c>
      <c r="B20" s="36" t="s">
        <v>945</v>
      </c>
      <c r="C20" s="36" t="n">
        <v>0.007</v>
      </c>
      <c r="D20" s="36" t="n">
        <v>0.15</v>
      </c>
      <c r="E20" s="36" t="n">
        <v>0.4</v>
      </c>
      <c r="F20" s="36" t="s">
        <v>146</v>
      </c>
      <c r="G20" s="36" t="n">
        <v>0</v>
      </c>
      <c r="H20" s="36" t="n">
        <v>0</v>
      </c>
      <c r="I20" s="5"/>
      <c r="J20" s="5"/>
      <c r="K20" s="5"/>
      <c r="L20" s="49"/>
      <c r="M20" s="36" t="n">
        <f aca="false">L20+ROW()/1000000</f>
        <v>2E-005</v>
      </c>
      <c r="N20" s="36" t="n">
        <f aca="false">RANK(M20,$M$19:$M$25,0)</f>
        <v>6</v>
      </c>
      <c r="O20" s="5"/>
      <c r="P20" s="36" t="n">
        <f aca="false">INDEX($J$19:$J$25,MATCH(1,$N$19:$N$25,0))</f>
        <v>0</v>
      </c>
      <c r="Q20" s="36" t="str">
        <f aca="false">IFERROR(VLOOKUP(P20,$J$19:$L$25,2,FALSE()),"")</f>
        <v/>
      </c>
      <c r="R20" s="36" t="str">
        <f aca="false">IFERROR(VLOOKUP(P20,$J$19:$L$25,3,FALSE()),"")</f>
        <v/>
      </c>
      <c r="S20" s="36" t="str">
        <f aca="false">IFERROR(Q20,"")</f>
        <v/>
      </c>
      <c r="T20" s="5"/>
      <c r="U20" s="36" t="str">
        <f aca="false">IFERROR(T20*R20,"")</f>
        <v/>
      </c>
    </row>
    <row r="21" customFormat="false" ht="14.25" hidden="false" customHeight="true" outlineLevel="0" collapsed="false">
      <c r="A21" s="37" t="n">
        <v>7</v>
      </c>
      <c r="B21" s="36" t="s">
        <v>940</v>
      </c>
      <c r="C21" s="36" t="n">
        <v>0</v>
      </c>
      <c r="D21" s="36" t="n">
        <v>0.6</v>
      </c>
      <c r="E21" s="36" t="n">
        <v>1</v>
      </c>
      <c r="F21" s="36" t="s">
        <v>146</v>
      </c>
      <c r="G21" s="36" t="n">
        <v>0</v>
      </c>
      <c r="H21" s="36" t="n">
        <v>0</v>
      </c>
      <c r="I21" s="5"/>
      <c r="J21" s="5"/>
      <c r="K21" s="5"/>
      <c r="L21" s="49"/>
      <c r="M21" s="36" t="n">
        <f aca="false">L21+ROW()/1000000</f>
        <v>2.1E-005</v>
      </c>
      <c r="N21" s="36" t="n">
        <f aca="false">RANK(M21,$M$19:$M$25,0)</f>
        <v>5</v>
      </c>
      <c r="O21" s="5"/>
      <c r="P21" s="36" t="n">
        <f aca="false">INDEX($J$19:$J$25,MATCH(2,$N$19:$N$25,0))</f>
        <v>0</v>
      </c>
      <c r="Q21" s="36" t="str">
        <f aca="false">IFERROR(VLOOKUP(P21,$J$19:$L$25,2,FALSE()),"")</f>
        <v/>
      </c>
      <c r="R21" s="36" t="str">
        <f aca="false">IFERROR(VLOOKUP(P21,$J$19:$L$25,3,FALSE()),"")</f>
        <v/>
      </c>
      <c r="S21" s="36" t="str">
        <f aca="false">IFERROR(S20+Q21,"")</f>
        <v/>
      </c>
      <c r="T21" s="5"/>
      <c r="U21" s="36" t="str">
        <f aca="false">IFERROR(T21*R21,"")</f>
        <v/>
      </c>
    </row>
    <row r="22" customFormat="false" ht="14.25" hidden="false" customHeight="true" outlineLevel="0" collapsed="false">
      <c r="A22" s="37"/>
      <c r="B22" s="37"/>
      <c r="C22" s="37"/>
      <c r="D22" s="37"/>
      <c r="E22" s="37"/>
      <c r="F22" s="37"/>
      <c r="G22" s="5"/>
      <c r="H22" s="5"/>
      <c r="I22" s="5"/>
      <c r="J22" s="5"/>
      <c r="K22" s="5"/>
      <c r="L22" s="49"/>
      <c r="M22" s="36" t="n">
        <f aca="false">L22+ROW()/1000000</f>
        <v>2.2E-005</v>
      </c>
      <c r="N22" s="36" t="n">
        <f aca="false">RANK(M22,$M$19:$M$25,0)</f>
        <v>4</v>
      </c>
      <c r="O22" s="5"/>
      <c r="P22" s="36" t="n">
        <f aca="false">INDEX($J$19:$J$25,MATCH(3,$N$19:$N$25,0))</f>
        <v>0</v>
      </c>
      <c r="Q22" s="36" t="str">
        <f aca="false">IFERROR(VLOOKUP(P22,$J$19:$L$25,2,FALSE()),"")</f>
        <v/>
      </c>
      <c r="R22" s="36" t="str">
        <f aca="false">IFERROR(VLOOKUP(P22,$J$19:$L$25,3,FALSE()),"")</f>
        <v/>
      </c>
      <c r="S22" s="36" t="str">
        <f aca="false">IFERROR(S21+Q22,"")</f>
        <v/>
      </c>
      <c r="T22" s="5"/>
      <c r="U22" s="36" t="str">
        <f aca="false">IFERROR(T22*R22,"")</f>
        <v/>
      </c>
    </row>
    <row r="23" customFormat="false" ht="14.25" hidden="false" customHeight="true" outlineLevel="0" collapsed="false">
      <c r="A23" s="36" t="s">
        <v>1502</v>
      </c>
      <c r="B23" s="5"/>
      <c r="C23" s="5"/>
      <c r="D23" s="5"/>
      <c r="E23" s="5"/>
      <c r="F23" s="5"/>
      <c r="G23" s="5"/>
      <c r="H23" s="5"/>
      <c r="I23" s="5"/>
      <c r="J23" s="5"/>
      <c r="K23" s="5"/>
      <c r="L23" s="49"/>
      <c r="M23" s="36" t="n">
        <f aca="false">L23+ROW()/1000000</f>
        <v>2.3E-005</v>
      </c>
      <c r="N23" s="36" t="n">
        <f aca="false">RANK(M23,$M$19:$M$25,0)</f>
        <v>3</v>
      </c>
      <c r="O23" s="5"/>
      <c r="P23" s="36" t="n">
        <f aca="false">INDEX($J$19:$J$25,MATCH(4,$N$19:$N$25,0))</f>
        <v>0</v>
      </c>
      <c r="Q23" s="36" t="str">
        <f aca="false">IFERROR(VLOOKUP(P23,$J$19:$L$25,2,FALSE()),"")</f>
        <v/>
      </c>
      <c r="R23" s="36" t="str">
        <f aca="false">IFERROR(VLOOKUP(P23,$J$19:$L$25,3,FALSE()),"")</f>
        <v/>
      </c>
      <c r="S23" s="36" t="str">
        <f aca="false">IFERROR(S22+Q23,"")</f>
        <v/>
      </c>
      <c r="T23" s="5"/>
      <c r="U23" s="36" t="str">
        <f aca="false">IFERROR(T23*R23,"")</f>
        <v/>
      </c>
    </row>
    <row r="24" customFormat="false" ht="14.25" hidden="false" customHeight="true" outlineLevel="0" collapsed="false">
      <c r="A24" s="36" t="s">
        <v>1503</v>
      </c>
      <c r="B24" s="36" t="n">
        <v>0.001095</v>
      </c>
      <c r="C24" s="5"/>
      <c r="D24" s="5"/>
      <c r="E24" s="5"/>
      <c r="F24" s="5"/>
      <c r="G24" s="5"/>
      <c r="H24" s="5"/>
      <c r="I24" s="5"/>
      <c r="J24" s="5"/>
      <c r="K24" s="5"/>
      <c r="L24" s="49"/>
      <c r="M24" s="36" t="n">
        <f aca="false">L24+ROW()/1000000</f>
        <v>2.4E-005</v>
      </c>
      <c r="N24" s="36" t="n">
        <f aca="false">RANK(M24,$M$19:$M$25,0)</f>
        <v>2</v>
      </c>
      <c r="O24" s="5"/>
      <c r="P24" s="36" t="n">
        <f aca="false">INDEX($J$19:$J$25,MATCH(5,$N$19:$N$25,0))</f>
        <v>0</v>
      </c>
      <c r="Q24" s="36" t="str">
        <f aca="false">IFERROR(VLOOKUP(P24,$J$19:$L$25,2,FALSE()),"")</f>
        <v/>
      </c>
      <c r="R24" s="36" t="str">
        <f aca="false">IFERROR(VLOOKUP(P24,$J$19:$L$25,3,FALSE()),"")</f>
        <v/>
      </c>
      <c r="S24" s="36" t="str">
        <f aca="false">IFERROR(S23+Q24,"")</f>
        <v/>
      </c>
      <c r="T24" s="5"/>
      <c r="U24" s="36" t="str">
        <f aca="false">IFERROR(T24*R24,"")</f>
        <v/>
      </c>
    </row>
    <row r="25" customFormat="false" ht="14.25" hidden="false" customHeight="true" outlineLevel="0" collapsed="false">
      <c r="A25" s="36" t="s">
        <v>1504</v>
      </c>
      <c r="B25" s="65" t="n">
        <v>0.0219</v>
      </c>
      <c r="C25" s="5"/>
      <c r="D25" s="5"/>
      <c r="E25" s="5"/>
      <c r="F25" s="5"/>
      <c r="G25" s="5"/>
      <c r="H25" s="5"/>
      <c r="I25" s="5"/>
      <c r="J25" s="5"/>
      <c r="K25" s="5"/>
      <c r="L25" s="49"/>
      <c r="M25" s="36" t="n">
        <f aca="false">L25+ROW()/1000000</f>
        <v>2.5E-005</v>
      </c>
      <c r="N25" s="36" t="n">
        <f aca="false">RANK(M25,$M$19:$M$25,0)</f>
        <v>1</v>
      </c>
      <c r="O25" s="5"/>
      <c r="P25" s="36" t="n">
        <f aca="false">INDEX($J$19:$J$25,MATCH(6,$N$19:$N$25,0))</f>
        <v>0</v>
      </c>
      <c r="Q25" s="36" t="str">
        <f aca="false">IFERROR(VLOOKUP(P25,$J$19:$L$25,2,FALSE()),"")</f>
        <v/>
      </c>
      <c r="R25" s="36" t="str">
        <f aca="false">IFERROR(VLOOKUP(P25,$J$19:$L$25,3,FALSE()),"")</f>
        <v/>
      </c>
      <c r="S25" s="36" t="str">
        <f aca="false">IFERROR(S24+Q25,"")</f>
        <v/>
      </c>
      <c r="T25" s="5"/>
      <c r="U25" s="36" t="str">
        <f aca="false">IFERROR(T25*R25,"")</f>
        <v/>
      </c>
    </row>
    <row r="26" customFormat="false" ht="14.25" hidden="false" customHeight="true" outlineLevel="0" collapsed="false">
      <c r="A26" s="36" t="s">
        <v>1505</v>
      </c>
      <c r="B26" s="50" t="s">
        <v>348</v>
      </c>
      <c r="C26" s="36" t="s">
        <v>1506</v>
      </c>
      <c r="D26" s="5"/>
      <c r="E26" s="5"/>
      <c r="F26" s="5"/>
      <c r="G26" s="5"/>
      <c r="H26" s="5"/>
      <c r="I26" s="5"/>
      <c r="J26" s="5"/>
      <c r="K26" s="5"/>
      <c r="L26" s="5"/>
      <c r="M26" s="5"/>
      <c r="N26" s="5"/>
      <c r="O26" s="5"/>
      <c r="P26" s="36" t="n">
        <f aca="false">INDEX($J$19:$J$25,MATCH(7,$N$19:$N$25,0))</f>
        <v>0</v>
      </c>
      <c r="Q26" s="36" t="str">
        <f aca="false">IFERROR(VLOOKUP(P26,$J$19:$L$25,2,FALSE()),"")</f>
        <v/>
      </c>
      <c r="R26" s="36" t="str">
        <f aca="false">IFERROR(VLOOKUP(P26,$J$19:$L$25,3,FALSE()),"")</f>
        <v/>
      </c>
      <c r="S26" s="36" t="str">
        <f aca="false">IFERROR(S25+Q26,"")</f>
        <v/>
      </c>
      <c r="T26" s="5"/>
      <c r="U26" s="36" t="str">
        <f aca="false">IFERROR(T26*R26,"")</f>
        <v/>
      </c>
    </row>
    <row r="27" customFormat="false" ht="12.75" hidden="false" customHeight="false" outlineLevel="0" collapsed="false">
      <c r="A27" s="5"/>
      <c r="B27" s="5"/>
      <c r="C27" s="5"/>
      <c r="D27" s="5"/>
      <c r="E27" s="5"/>
      <c r="F27" s="5"/>
      <c r="G27" s="5"/>
      <c r="H27" s="5"/>
      <c r="I27" s="5"/>
      <c r="J27" s="5"/>
      <c r="K27" s="5"/>
      <c r="L27" s="5"/>
      <c r="M27" s="5"/>
      <c r="N27" s="5"/>
      <c r="O27" s="5"/>
      <c r="P27" s="5"/>
      <c r="Q27" s="5"/>
      <c r="R27" s="5"/>
      <c r="S27" s="5"/>
      <c r="T27" s="5"/>
      <c r="U27" s="5"/>
    </row>
    <row r="28" customFormat="false" ht="14.25" hidden="false" customHeight="true" outlineLevel="0" collapsed="false">
      <c r="A28" s="5"/>
      <c r="B28" s="5"/>
      <c r="C28" s="5"/>
      <c r="D28" s="5"/>
      <c r="E28" s="5"/>
      <c r="F28" s="5"/>
      <c r="G28" s="5"/>
      <c r="H28" s="49"/>
      <c r="I28" s="5"/>
      <c r="J28" s="5"/>
      <c r="K28" s="5"/>
      <c r="L28" s="5"/>
      <c r="M28" s="5"/>
      <c r="N28" s="5"/>
      <c r="O28" s="5"/>
      <c r="P28" s="5"/>
      <c r="Q28" s="5"/>
      <c r="R28" s="5"/>
      <c r="S28" s="5"/>
      <c r="T28" s="5"/>
      <c r="U28" s="5"/>
    </row>
    <row r="29" customFormat="false" ht="14.25" hidden="false" customHeight="true" outlineLevel="0" collapsed="false">
      <c r="A29" s="65" t="s">
        <v>1507</v>
      </c>
      <c r="B29" s="5"/>
      <c r="C29" s="5"/>
      <c r="D29" s="5"/>
      <c r="E29" s="5"/>
      <c r="F29" s="5"/>
      <c r="G29" s="5"/>
      <c r="H29" s="5"/>
      <c r="I29" s="5"/>
      <c r="J29" s="5"/>
      <c r="K29" s="5"/>
      <c r="L29" s="5"/>
      <c r="M29" s="5"/>
      <c r="N29" s="5"/>
      <c r="O29" s="5"/>
      <c r="P29" s="5"/>
      <c r="Q29" s="5"/>
      <c r="R29" s="5"/>
      <c r="S29" s="5"/>
      <c r="T29" s="5"/>
      <c r="U29" s="5"/>
    </row>
    <row r="30" customFormat="false" ht="14.25" hidden="false" customHeight="true" outlineLevel="0" collapsed="false">
      <c r="A30" s="65" t="s">
        <v>1488</v>
      </c>
      <c r="B30" s="65" t="s">
        <v>930</v>
      </c>
      <c r="C30" s="65" t="s">
        <v>932</v>
      </c>
      <c r="D30" s="65" t="s">
        <v>931</v>
      </c>
      <c r="E30" s="65" t="s">
        <v>1491</v>
      </c>
      <c r="F30" s="65" t="s">
        <v>1498</v>
      </c>
      <c r="G30" s="65" t="s">
        <v>1499</v>
      </c>
      <c r="H30" s="65" t="s">
        <v>1500</v>
      </c>
      <c r="I30" s="5"/>
      <c r="J30" s="5"/>
      <c r="K30" s="5"/>
      <c r="L30" s="5"/>
      <c r="M30" s="5"/>
      <c r="N30" s="5"/>
      <c r="O30" s="5"/>
      <c r="P30" s="5"/>
      <c r="Q30" s="5"/>
      <c r="R30" s="5"/>
      <c r="S30" s="5"/>
      <c r="T30" s="5"/>
      <c r="U30" s="5"/>
    </row>
    <row r="31" customFormat="false" ht="14.25" hidden="false" customHeight="true" outlineLevel="0" collapsed="false">
      <c r="A31" s="37" t="n">
        <v>1</v>
      </c>
      <c r="B31" s="36" t="s">
        <v>947</v>
      </c>
      <c r="C31" s="36" t="n">
        <v>0.0315</v>
      </c>
      <c r="D31" s="36" t="n">
        <v>0.08</v>
      </c>
      <c r="E31" s="36" t="n">
        <v>0.08</v>
      </c>
      <c r="F31" s="36" t="s">
        <v>1501</v>
      </c>
      <c r="G31" s="36" t="n">
        <v>0.05</v>
      </c>
      <c r="H31" s="36" t="n">
        <v>0.001575</v>
      </c>
      <c r="I31" s="5"/>
      <c r="J31" s="5"/>
      <c r="K31" s="5"/>
      <c r="L31" s="5"/>
      <c r="M31" s="5"/>
      <c r="N31" s="5"/>
      <c r="O31" s="5"/>
      <c r="P31" s="5"/>
      <c r="Q31" s="5"/>
      <c r="R31" s="5"/>
      <c r="S31" s="5"/>
      <c r="T31" s="5"/>
      <c r="U31" s="5"/>
    </row>
    <row r="32" customFormat="false" ht="14.25" hidden="false" customHeight="true" outlineLevel="0" collapsed="false">
      <c r="A32" s="67" t="n">
        <v>2</v>
      </c>
      <c r="B32" s="36" t="s">
        <v>949</v>
      </c>
      <c r="C32" s="36" t="n">
        <v>0.0235</v>
      </c>
      <c r="D32" s="36" t="n">
        <v>0.07</v>
      </c>
      <c r="E32" s="36" t="n">
        <v>0.15</v>
      </c>
      <c r="F32" s="36" t="s">
        <v>146</v>
      </c>
      <c r="G32" s="36" t="n">
        <v>0</v>
      </c>
      <c r="H32" s="36" t="n">
        <v>0</v>
      </c>
      <c r="I32" s="5"/>
      <c r="J32" s="5"/>
      <c r="K32" s="5"/>
      <c r="L32" s="5"/>
      <c r="M32" s="5"/>
      <c r="N32" s="5"/>
      <c r="O32" s="5"/>
      <c r="P32" s="5"/>
      <c r="Q32" s="5"/>
      <c r="R32" s="5"/>
      <c r="S32" s="5"/>
      <c r="T32" s="5"/>
      <c r="U32" s="5"/>
    </row>
    <row r="33" customFormat="false" ht="14.25" hidden="false" customHeight="true" outlineLevel="0" collapsed="false">
      <c r="A33" s="36" t="n">
        <v>3</v>
      </c>
      <c r="B33" s="36" t="s">
        <v>953</v>
      </c>
      <c r="C33" s="36" t="n">
        <v>0.02175</v>
      </c>
      <c r="D33" s="36" t="n">
        <v>0.03</v>
      </c>
      <c r="E33" s="36" t="n">
        <v>0.18</v>
      </c>
      <c r="F33" s="36" t="s">
        <v>146</v>
      </c>
      <c r="G33" s="36" t="n">
        <v>0</v>
      </c>
      <c r="H33" s="36" t="n">
        <v>0</v>
      </c>
      <c r="I33" s="5"/>
      <c r="J33" s="5"/>
      <c r="K33" s="5"/>
      <c r="L33" s="5"/>
      <c r="M33" s="5"/>
      <c r="N33" s="5"/>
      <c r="O33" s="5"/>
      <c r="P33" s="5"/>
      <c r="Q33" s="5"/>
      <c r="R33" s="5"/>
      <c r="S33" s="5"/>
      <c r="T33" s="5"/>
      <c r="U33" s="5"/>
    </row>
    <row r="34" customFormat="false" ht="14.25" hidden="false" customHeight="true" outlineLevel="0" collapsed="false">
      <c r="A34" s="36" t="n">
        <v>4</v>
      </c>
      <c r="B34" s="36" t="s">
        <v>951</v>
      </c>
      <c r="C34" s="36" t="n">
        <v>0.0135</v>
      </c>
      <c r="D34" s="36" t="n">
        <v>0.05</v>
      </c>
      <c r="E34" s="36" t="n">
        <v>0.23</v>
      </c>
      <c r="F34" s="36" t="s">
        <v>146</v>
      </c>
      <c r="G34" s="36" t="n">
        <v>0</v>
      </c>
      <c r="H34" s="36" t="n">
        <v>0</v>
      </c>
      <c r="I34" s="5"/>
      <c r="J34" s="5"/>
      <c r="K34" s="5"/>
      <c r="L34" s="5"/>
      <c r="M34" s="5"/>
      <c r="N34" s="5"/>
      <c r="O34" s="5"/>
      <c r="P34" s="5"/>
      <c r="Q34" s="5"/>
      <c r="R34" s="5"/>
      <c r="S34" s="5"/>
      <c r="T34" s="5"/>
      <c r="U34" s="5"/>
    </row>
    <row r="35" customFormat="false" ht="14.25" hidden="false" customHeight="true" outlineLevel="0" collapsed="false">
      <c r="A35" s="37" t="n">
        <v>5</v>
      </c>
      <c r="B35" s="36" t="s">
        <v>945</v>
      </c>
      <c r="C35" s="36" t="n">
        <v>0.0105</v>
      </c>
      <c r="D35" s="36" t="n">
        <v>0.15</v>
      </c>
      <c r="E35" s="36" t="n">
        <v>0.38</v>
      </c>
      <c r="F35" s="36" t="s">
        <v>146</v>
      </c>
      <c r="G35" s="36" t="n">
        <v>0</v>
      </c>
      <c r="H35" s="36" t="n">
        <v>0</v>
      </c>
      <c r="I35" s="5"/>
      <c r="J35" s="5"/>
      <c r="K35" s="5"/>
      <c r="L35" s="5"/>
      <c r="M35" s="5"/>
      <c r="N35" s="5"/>
      <c r="O35" s="5"/>
      <c r="P35" s="5"/>
      <c r="Q35" s="5"/>
      <c r="R35" s="5"/>
      <c r="S35" s="5"/>
      <c r="T35" s="5"/>
      <c r="U35" s="5"/>
    </row>
    <row r="36" customFormat="false" ht="14.25" hidden="false" customHeight="true" outlineLevel="0" collapsed="false">
      <c r="A36" s="68" t="n">
        <v>6</v>
      </c>
      <c r="B36" s="36" t="s">
        <v>955</v>
      </c>
      <c r="C36" s="36" t="n">
        <v>0.007</v>
      </c>
      <c r="D36" s="36" t="n">
        <v>0.02</v>
      </c>
      <c r="E36" s="36" t="n">
        <v>0.4</v>
      </c>
      <c r="F36" s="36" t="s">
        <v>146</v>
      </c>
      <c r="G36" s="36" t="n">
        <v>0</v>
      </c>
      <c r="H36" s="36" t="n">
        <v>0</v>
      </c>
      <c r="I36" s="5"/>
      <c r="J36" s="5"/>
      <c r="K36" s="5"/>
      <c r="L36" s="5"/>
      <c r="M36" s="5"/>
      <c r="N36" s="5"/>
      <c r="O36" s="5"/>
      <c r="P36" s="5"/>
      <c r="Q36" s="5"/>
      <c r="R36" s="5"/>
      <c r="S36" s="5"/>
      <c r="T36" s="5"/>
      <c r="U36" s="5"/>
    </row>
    <row r="37" customFormat="false" ht="14.25" hidden="false" customHeight="true" outlineLevel="0" collapsed="false">
      <c r="A37" s="36" t="n">
        <v>7</v>
      </c>
      <c r="B37" s="36" t="s">
        <v>940</v>
      </c>
      <c r="C37" s="36" t="n">
        <v>0.003574</v>
      </c>
      <c r="D37" s="36" t="n">
        <v>0.6</v>
      </c>
      <c r="E37" s="36" t="n">
        <v>1</v>
      </c>
      <c r="F37" s="36" t="s">
        <v>146</v>
      </c>
      <c r="G37" s="36" t="n">
        <v>0</v>
      </c>
      <c r="H37" s="36" t="n">
        <v>0</v>
      </c>
      <c r="I37" s="5"/>
      <c r="J37" s="5"/>
      <c r="K37" s="5"/>
      <c r="L37" s="5"/>
      <c r="M37" s="5"/>
      <c r="N37" s="5"/>
      <c r="O37" s="5"/>
      <c r="P37" s="5"/>
      <c r="Q37" s="5"/>
      <c r="R37" s="5"/>
      <c r="S37" s="5"/>
      <c r="T37" s="5"/>
      <c r="U37" s="5"/>
    </row>
    <row r="38" customFormat="false" ht="14.25" hidden="false" customHeight="true" outlineLevel="0" collapsed="false">
      <c r="A38" s="69"/>
      <c r="B38" s="5"/>
      <c r="C38" s="5"/>
      <c r="D38" s="5"/>
      <c r="E38" s="5"/>
      <c r="F38" s="5"/>
      <c r="G38" s="5"/>
      <c r="H38" s="5"/>
      <c r="I38" s="5"/>
      <c r="J38" s="5"/>
      <c r="K38" s="5"/>
      <c r="L38" s="5"/>
      <c r="M38" s="5"/>
      <c r="N38" s="5"/>
      <c r="O38" s="5"/>
      <c r="P38" s="5"/>
      <c r="Q38" s="5"/>
      <c r="R38" s="5"/>
      <c r="S38" s="5"/>
      <c r="T38" s="5"/>
      <c r="U38" s="5"/>
    </row>
    <row r="39" customFormat="false" ht="14.25" hidden="false" customHeight="true" outlineLevel="0" collapsed="false">
      <c r="A39" s="36" t="s">
        <v>1508</v>
      </c>
      <c r="B39" s="5"/>
      <c r="C39" s="5"/>
      <c r="D39" s="5"/>
      <c r="E39" s="5"/>
      <c r="F39" s="5"/>
      <c r="G39" s="5"/>
      <c r="H39" s="5"/>
      <c r="I39" s="5"/>
      <c r="J39" s="5"/>
      <c r="K39" s="5"/>
      <c r="L39" s="5"/>
      <c r="M39" s="5"/>
      <c r="N39" s="5"/>
      <c r="O39" s="5"/>
      <c r="P39" s="5"/>
      <c r="Q39" s="5"/>
      <c r="R39" s="5"/>
      <c r="S39" s="5"/>
      <c r="T39" s="5"/>
      <c r="U39" s="5"/>
    </row>
    <row r="40" customFormat="false" ht="14.25" hidden="false" customHeight="true" outlineLevel="0" collapsed="false">
      <c r="A40" s="36" t="s">
        <v>1503</v>
      </c>
      <c r="B40" s="36" t="n">
        <v>0.001575</v>
      </c>
      <c r="C40" s="5"/>
      <c r="D40" s="5"/>
      <c r="E40" s="5"/>
      <c r="F40" s="5"/>
      <c r="G40" s="5"/>
      <c r="H40" s="5"/>
      <c r="I40" s="5"/>
      <c r="J40" s="5"/>
      <c r="K40" s="5"/>
      <c r="L40" s="5"/>
      <c r="M40" s="5"/>
      <c r="N40" s="5"/>
      <c r="O40" s="5"/>
      <c r="P40" s="5"/>
      <c r="Q40" s="5"/>
      <c r="R40" s="5"/>
      <c r="S40" s="5"/>
      <c r="T40" s="5"/>
      <c r="U40" s="5"/>
    </row>
    <row r="41" customFormat="false" ht="14.25" hidden="false" customHeight="true" outlineLevel="0" collapsed="false">
      <c r="A41" s="36" t="s">
        <v>1509</v>
      </c>
      <c r="B41" s="65" t="n">
        <v>0.0315</v>
      </c>
      <c r="C41" s="5"/>
      <c r="D41" s="5"/>
      <c r="E41" s="5"/>
      <c r="F41" s="5"/>
      <c r="G41" s="5"/>
      <c r="H41" s="5"/>
      <c r="I41" s="5"/>
      <c r="J41" s="5"/>
      <c r="K41" s="5"/>
      <c r="L41" s="5"/>
      <c r="M41" s="5"/>
      <c r="N41" s="5"/>
      <c r="O41" s="5"/>
      <c r="P41" s="5"/>
      <c r="Q41" s="5"/>
      <c r="R41" s="5"/>
      <c r="S41" s="5"/>
      <c r="T41" s="5"/>
      <c r="U41" s="5"/>
    </row>
    <row r="42" customFormat="false" ht="14.25" hidden="false" customHeight="true" outlineLevel="0" collapsed="false">
      <c r="A42" s="36" t="s">
        <v>1505</v>
      </c>
      <c r="B42" s="50" t="s">
        <v>348</v>
      </c>
      <c r="C42" s="36" t="s">
        <v>1510</v>
      </c>
      <c r="D42" s="5"/>
      <c r="E42" s="5"/>
      <c r="F42" s="5"/>
      <c r="G42" s="5"/>
      <c r="H42" s="5"/>
      <c r="I42" s="5"/>
      <c r="J42" s="5"/>
      <c r="K42" s="5"/>
      <c r="L42" s="5"/>
      <c r="M42" s="5"/>
      <c r="N42" s="5"/>
      <c r="O42" s="5"/>
      <c r="P42" s="5"/>
      <c r="Q42" s="5"/>
      <c r="R42" s="5"/>
      <c r="S42" s="5"/>
      <c r="T42" s="5"/>
      <c r="U42" s="5"/>
    </row>
    <row r="43" customFormat="false" ht="14.25" hidden="false" customHeight="true" outlineLevel="0" collapsed="false">
      <c r="A43" s="36" t="str">
        <f aca="false">IF(Dashboard!$B$36="YES","  2nd: Option "&amp;IF($H$15&lt;=$H$28,"B","A")&amp;" (CVaR = "&amp;TEXT(MAX($H$15,$H$28),"0.000")&amp;")","")</f>
        <v/>
      </c>
      <c r="B43" s="5"/>
      <c r="C43" s="5"/>
      <c r="D43" s="5"/>
      <c r="E43" s="5"/>
      <c r="F43" s="5"/>
      <c r="G43" s="5"/>
      <c r="H43" s="5"/>
      <c r="I43" s="5"/>
      <c r="J43" s="5"/>
      <c r="K43" s="5"/>
      <c r="L43" s="5"/>
      <c r="M43" s="5"/>
      <c r="N43" s="5"/>
      <c r="O43" s="5"/>
      <c r="P43" s="5"/>
      <c r="Q43" s="5"/>
      <c r="R43" s="5"/>
      <c r="S43" s="5"/>
      <c r="T43" s="5"/>
      <c r="U43" s="5"/>
    </row>
    <row r="44" customFormat="false" ht="12.75" hidden="false" customHeight="false" outlineLevel="0" collapsed="false">
      <c r="A44" s="5"/>
      <c r="B44" s="5"/>
      <c r="C44" s="5"/>
      <c r="D44" s="5"/>
      <c r="E44" s="5"/>
      <c r="F44" s="5"/>
      <c r="G44" s="5"/>
      <c r="H44" s="5"/>
      <c r="I44" s="5"/>
      <c r="J44" s="5"/>
      <c r="K44" s="5"/>
      <c r="L44" s="5"/>
      <c r="M44" s="5"/>
      <c r="N44" s="5"/>
      <c r="O44" s="5"/>
      <c r="P44" s="5"/>
      <c r="Q44" s="5"/>
      <c r="R44" s="5"/>
      <c r="S44" s="5"/>
      <c r="T44" s="5"/>
      <c r="U44" s="5"/>
    </row>
    <row r="45" customFormat="false" ht="14.25" hidden="false" customHeight="true" outlineLevel="0" collapsed="false">
      <c r="A45" s="70" t="s">
        <v>1511</v>
      </c>
      <c r="B45" s="5"/>
      <c r="C45" s="5"/>
      <c r="D45" s="5"/>
      <c r="E45" s="5"/>
      <c r="F45" s="5"/>
      <c r="G45" s="5"/>
      <c r="H45" s="5"/>
      <c r="I45" s="5"/>
      <c r="J45" s="5"/>
      <c r="K45" s="5"/>
      <c r="L45" s="5"/>
      <c r="M45" s="5"/>
      <c r="N45" s="5"/>
      <c r="O45" s="5"/>
      <c r="P45" s="5"/>
      <c r="Q45" s="5"/>
      <c r="R45" s="5"/>
      <c r="S45" s="5"/>
      <c r="T45" s="5"/>
      <c r="U45" s="5"/>
    </row>
    <row r="46" customFormat="false" ht="14.25" hidden="false" customHeight="true" outlineLevel="0" collapsed="false">
      <c r="A46" s="36" t="s">
        <v>1512</v>
      </c>
      <c r="B46" s="5"/>
      <c r="C46" s="5"/>
      <c r="D46" s="5"/>
      <c r="E46" s="5"/>
      <c r="F46" s="5"/>
      <c r="G46" s="5"/>
      <c r="H46" s="5"/>
      <c r="I46" s="5"/>
      <c r="J46" s="5"/>
      <c r="K46" s="5"/>
      <c r="L46" s="5"/>
      <c r="M46" s="5"/>
      <c r="N46" s="5"/>
      <c r="O46" s="5"/>
      <c r="P46" s="5"/>
      <c r="Q46" s="5"/>
      <c r="R46" s="5"/>
      <c r="S46" s="5"/>
      <c r="T46" s="5"/>
      <c r="U46" s="5"/>
    </row>
    <row r="47" customFormat="false" ht="14.25" hidden="false" customHeight="true" outlineLevel="0" collapsed="false">
      <c r="A47" s="36" t="s">
        <v>1513</v>
      </c>
      <c r="B47" s="5"/>
      <c r="C47" s="5"/>
      <c r="D47" s="5"/>
      <c r="E47" s="5"/>
      <c r="F47" s="5"/>
      <c r="G47" s="5"/>
      <c r="H47" s="5"/>
      <c r="I47" s="5"/>
      <c r="J47" s="5"/>
      <c r="K47" s="5"/>
      <c r="L47" s="5"/>
      <c r="M47" s="5"/>
      <c r="N47" s="5"/>
      <c r="O47" s="5"/>
      <c r="P47" s="5"/>
      <c r="Q47" s="5"/>
      <c r="R47" s="5"/>
      <c r="S47" s="5"/>
      <c r="T47" s="5"/>
      <c r="U47" s="5"/>
    </row>
    <row r="48" customFormat="false" ht="14.25" hidden="false" customHeight="true" outlineLevel="0" collapsed="false">
      <c r="A48" s="36" t="s">
        <v>1514</v>
      </c>
      <c r="B48" s="5"/>
      <c r="C48" s="5"/>
      <c r="D48" s="5"/>
      <c r="E48" s="5"/>
      <c r="F48" s="5"/>
      <c r="G48" s="5"/>
      <c r="H48" s="5"/>
      <c r="I48" s="5"/>
      <c r="J48" s="5"/>
      <c r="K48" s="5"/>
      <c r="L48" s="5"/>
      <c r="M48" s="5"/>
      <c r="N48" s="5"/>
      <c r="O48" s="5"/>
      <c r="P48" s="5"/>
      <c r="Q48" s="5"/>
      <c r="R48" s="5"/>
      <c r="S48" s="5"/>
      <c r="T48" s="5"/>
      <c r="U48" s="5"/>
    </row>
    <row r="49" customFormat="false" ht="12.75" hidden="false" customHeight="false" outlineLevel="0" collapsed="false">
      <c r="A49" s="5"/>
      <c r="B49" s="5"/>
      <c r="C49" s="5"/>
      <c r="D49" s="5"/>
      <c r="E49" s="5"/>
      <c r="F49" s="5"/>
      <c r="G49" s="5"/>
      <c r="H49" s="5"/>
      <c r="I49" s="5"/>
      <c r="J49" s="5"/>
      <c r="K49" s="5"/>
      <c r="L49" s="5"/>
      <c r="M49" s="5"/>
      <c r="N49" s="5"/>
      <c r="O49" s="5"/>
      <c r="P49" s="5"/>
      <c r="Q49" s="5"/>
      <c r="R49" s="5"/>
      <c r="S49" s="5"/>
      <c r="T49" s="5"/>
      <c r="U49" s="5"/>
    </row>
    <row r="50" customFormat="false" ht="12.75" hidden="false" customHeight="false" outlineLevel="0" collapsed="false">
      <c r="A50" s="5"/>
      <c r="B50" s="5"/>
      <c r="C50" s="5"/>
      <c r="D50" s="5"/>
      <c r="E50" s="5"/>
      <c r="F50" s="5"/>
      <c r="G50" s="5"/>
      <c r="H50" s="5"/>
      <c r="I50" s="5"/>
      <c r="J50" s="5"/>
      <c r="K50" s="5"/>
      <c r="L50" s="5"/>
      <c r="M50" s="5"/>
      <c r="N50" s="5"/>
      <c r="O50" s="5"/>
      <c r="P50" s="5"/>
      <c r="Q50" s="5"/>
      <c r="R50" s="5"/>
      <c r="S50" s="5"/>
      <c r="T50" s="5"/>
      <c r="U50" s="5"/>
    </row>
    <row r="51" customFormat="false" ht="13.5" hidden="false" customHeight="true" outlineLevel="0" collapsed="false">
      <c r="A51" s="5"/>
      <c r="B51" s="5"/>
      <c r="C51" s="5"/>
      <c r="D51" s="5"/>
      <c r="E51" s="5"/>
      <c r="F51" s="5"/>
      <c r="G51" s="5"/>
      <c r="H51" s="5"/>
      <c r="I51" s="5"/>
      <c r="J51" s="5"/>
      <c r="K51" s="5"/>
      <c r="L51" s="5"/>
      <c r="M51" s="5"/>
      <c r="N51" s="5"/>
      <c r="O51" s="5"/>
      <c r="P51" s="5"/>
      <c r="Q51" s="5"/>
      <c r="R51" s="5"/>
      <c r="S51" s="5"/>
      <c r="T51" s="5"/>
      <c r="U51" s="5"/>
    </row>
    <row r="52" customFormat="false" ht="14.25" hidden="false" customHeight="true" outlineLevel="0" collapsed="false">
      <c r="A52" s="69"/>
      <c r="B52" s="5"/>
      <c r="C52" s="5"/>
      <c r="D52" s="5"/>
      <c r="E52" s="5"/>
      <c r="F52" s="5"/>
      <c r="G52" s="5"/>
      <c r="H52" s="5"/>
      <c r="I52" s="5"/>
      <c r="J52" s="5"/>
      <c r="K52" s="5"/>
      <c r="L52" s="5"/>
      <c r="M52" s="5"/>
      <c r="N52" s="5"/>
      <c r="O52" s="5"/>
      <c r="P52" s="5"/>
      <c r="Q52" s="5"/>
      <c r="R52" s="5"/>
      <c r="S52" s="5"/>
      <c r="T52" s="5"/>
      <c r="U52" s="5"/>
    </row>
  </sheetData>
  <mergeCells count="1">
    <mergeCell ref="A1:J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16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2" min="1" style="2" width="18"/>
    <col collapsed="false" customWidth="true" hidden="false" outlineLevel="0" max="3" min="3" style="2" width="14"/>
    <col collapsed="false" customWidth="true" hidden="false" outlineLevel="0" max="4" min="4" style="2" width="18"/>
    <col collapsed="false" customWidth="true" hidden="false" outlineLevel="0" max="5" min="5" style="2" width="36"/>
    <col collapsed="false" customWidth="true" hidden="false" outlineLevel="0" max="9" min="6" style="2" width="10"/>
    <col collapsed="false" customWidth="true" hidden="false" outlineLevel="0" max="10" min="10" style="2" width="22"/>
    <col collapsed="false" customWidth="true" hidden="false" outlineLevel="0" max="12" min="11" style="2" width="36"/>
  </cols>
  <sheetData>
    <row r="1" customFormat="false" ht="39" hidden="false" customHeight="true" outlineLevel="0" collapsed="false">
      <c r="A1" s="3" t="s">
        <v>1515</v>
      </c>
      <c r="B1" s="3"/>
      <c r="C1" s="3"/>
      <c r="D1" s="3"/>
      <c r="E1" s="3"/>
      <c r="F1" s="3"/>
      <c r="G1" s="3"/>
      <c r="H1" s="3"/>
      <c r="I1" s="3"/>
      <c r="J1" s="3"/>
      <c r="K1" s="3"/>
      <c r="L1" s="3"/>
    </row>
    <row r="2" customFormat="false" ht="39" hidden="false" customHeight="true" outlineLevel="0" collapsed="false">
      <c r="A2" s="5"/>
      <c r="B2" s="5"/>
      <c r="C2" s="5"/>
      <c r="D2" s="5"/>
      <c r="E2" s="5"/>
      <c r="F2" s="5"/>
      <c r="G2" s="5"/>
      <c r="H2" s="5"/>
      <c r="I2" s="5"/>
      <c r="J2" s="7" t="s">
        <v>1516</v>
      </c>
      <c r="K2" s="5"/>
      <c r="L2" s="5"/>
    </row>
    <row r="3" customFormat="false" ht="36" hidden="false" customHeight="true" outlineLevel="0" collapsed="false">
      <c r="A3" s="7" t="s">
        <v>1517</v>
      </c>
      <c r="B3" s="5" t="s">
        <v>1518</v>
      </c>
      <c r="C3" s="5"/>
      <c r="D3" s="5"/>
      <c r="E3" s="5"/>
      <c r="F3" s="5"/>
      <c r="G3" s="5"/>
      <c r="H3" s="5"/>
      <c r="I3" s="5"/>
      <c r="J3" s="7" t="s">
        <v>670</v>
      </c>
      <c r="K3" s="7" t="n">
        <f aca="false">CANON!B23</f>
        <v>0.05</v>
      </c>
      <c r="L3" s="5"/>
    </row>
    <row r="4" customFormat="false" ht="12.75" hidden="false" customHeight="true" outlineLevel="0" collapsed="false">
      <c r="A4" s="7"/>
      <c r="B4" s="5"/>
      <c r="C4" s="5"/>
      <c r="D4" s="5"/>
      <c r="E4" s="5"/>
      <c r="F4" s="5"/>
      <c r="G4" s="5"/>
      <c r="H4" s="5"/>
      <c r="I4" s="5"/>
      <c r="J4" s="7" t="s">
        <v>1519</v>
      </c>
      <c r="K4" s="7" t="n">
        <f aca="false">CANON!B24</f>
        <v>-0.1</v>
      </c>
      <c r="L4" s="5"/>
    </row>
    <row r="5" customFormat="false" ht="36" hidden="false" customHeight="true" outlineLevel="0" collapsed="false">
      <c r="A5" s="8"/>
      <c r="B5" s="9" t="s">
        <v>1520</v>
      </c>
      <c r="C5" s="9"/>
      <c r="D5" s="9"/>
      <c r="E5" s="9"/>
      <c r="F5" s="9"/>
      <c r="G5" s="9"/>
      <c r="H5" s="9"/>
      <c r="I5" s="5"/>
      <c r="J5" s="7" t="s">
        <v>696</v>
      </c>
      <c r="K5" s="7" t="s">
        <v>1521</v>
      </c>
      <c r="L5" s="7" t="s">
        <v>1522</v>
      </c>
    </row>
    <row r="6" customFormat="false" ht="26.25" hidden="false" customHeight="true" outlineLevel="0" collapsed="false">
      <c r="A6" s="5"/>
      <c r="B6" s="5"/>
      <c r="C6" s="5"/>
      <c r="D6" s="5"/>
      <c r="E6" s="5"/>
      <c r="F6" s="5"/>
      <c r="G6" s="5"/>
      <c r="H6" s="5"/>
      <c r="I6" s="5"/>
      <c r="J6" s="7" t="s">
        <v>760</v>
      </c>
      <c r="K6" s="7" t="n">
        <f aca="false">(I_prop!B7+I_prop!C7+I_prop!D7+I_prop!E7+I_prop!F7+I_prop!G7+I_prop!H7)/7</f>
        <v>0.0560382485886524</v>
      </c>
      <c r="L6" s="7" t="n">
        <f aca="false">(I_prop!B18+I_prop!C18+I_prop!D18+I_prop!E18+I_prop!F18+I_prop!G18+I_prop!H18)/7</f>
        <v>-0.00661908109580481</v>
      </c>
    </row>
    <row r="7" customFormat="false" ht="26.25" hidden="false" customHeight="true" outlineLevel="0" collapsed="false">
      <c r="A7" s="71" t="s">
        <v>1523</v>
      </c>
      <c r="B7" s="72" t="s">
        <v>1521</v>
      </c>
      <c r="C7" s="72" t="s">
        <v>1524</v>
      </c>
      <c r="D7" s="72" t="s">
        <v>1522</v>
      </c>
      <c r="E7" s="72" t="s">
        <v>1525</v>
      </c>
      <c r="F7" s="5"/>
      <c r="G7" s="5"/>
      <c r="H7" s="5"/>
      <c r="I7" s="5"/>
      <c r="J7" s="7" t="s">
        <v>762</v>
      </c>
      <c r="K7" s="7" t="n">
        <f aca="false">(I_prop!B8+I_prop!C8+I_prop!D8+I_prop!E8+I_prop!F8+I_prop!G8+I_prop!H8)/7</f>
        <v>0.00659459660486983</v>
      </c>
      <c r="L7" s="7" t="n">
        <f aca="false">(I_prop!B19+I_prop!C19+I_prop!D19+I_prop!E19+I_prop!F19+I_prop!G19+I_prop!H19)/7</f>
        <v>-0.0026394143482197</v>
      </c>
    </row>
    <row r="8" customFormat="false" ht="26.25" hidden="false" customHeight="true" outlineLevel="0" collapsed="false">
      <c r="A8" s="73" t="str">
        <f aca="false">J6</f>
        <v>U1</v>
      </c>
      <c r="B8" s="74" t="n">
        <f aca="false">K6</f>
        <v>0.0560382485886524</v>
      </c>
      <c r="C8" s="73" t="str">
        <f aca="false">IF(K6&gt;=$K$3,"YES","NO")</f>
        <v>YES</v>
      </c>
      <c r="D8" s="75" t="n">
        <f aca="false">L6</f>
        <v>-0.00661908109580481</v>
      </c>
      <c r="E8" s="76" t="str">
        <f aca="false">IF(L6&gt;=$K$3,"YES","NO")</f>
        <v>NO</v>
      </c>
      <c r="F8" s="5"/>
      <c r="G8" s="5"/>
      <c r="H8" s="5"/>
      <c r="I8" s="5"/>
      <c r="J8" s="7" t="s">
        <v>763</v>
      </c>
      <c r="K8" s="7" t="n">
        <f aca="false">(I_prop!B9+I_prop!C9+I_prop!D9+I_prop!E9+I_prop!F9+I_prop!G9+I_prop!H9)/7</f>
        <v>-0.0143601373053857</v>
      </c>
      <c r="L8" s="7" t="n">
        <f aca="false">(I_prop!B20+I_prop!C20+I_prop!D20+I_prop!E20+I_prop!F20+I_prop!G20+I_prop!H20)/7</f>
        <v>0.0106733399362981</v>
      </c>
    </row>
    <row r="9" customFormat="false" ht="26.25" hidden="false" customHeight="true" outlineLevel="0" collapsed="false">
      <c r="A9" s="77" t="str">
        <f aca="false">J7</f>
        <v>U2</v>
      </c>
      <c r="B9" s="78" t="n">
        <f aca="false">K7</f>
        <v>0.00659459660486983</v>
      </c>
      <c r="C9" s="77" t="str">
        <f aca="false">IF(K7&gt;=$K$3,"YES","NO")</f>
        <v>NO</v>
      </c>
      <c r="D9" s="75" t="n">
        <f aca="false">L7</f>
        <v>-0.0026394143482197</v>
      </c>
      <c r="E9" s="76" t="str">
        <f aca="false">IF(L7&gt;=$K$3,"YES","NO")</f>
        <v>NO</v>
      </c>
      <c r="F9" s="5"/>
      <c r="G9" s="5"/>
      <c r="H9" s="5"/>
      <c r="I9" s="5"/>
      <c r="J9" s="7" t="s">
        <v>764</v>
      </c>
      <c r="K9" s="7" t="n">
        <f aca="false">(I_prop!B10+I_prop!C10+I_prop!D10+I_prop!E10+I_prop!F10+I_prop!G10+I_prop!H10)/7</f>
        <v>-0.0122242051851281</v>
      </c>
      <c r="L9" s="7" t="n">
        <f aca="false">(I_prop!B21+I_prop!C21+I_prop!D21+I_prop!E21+I_prop!F21+I_prop!G21+I_prop!H21)/7</f>
        <v>0.00145877937416746</v>
      </c>
    </row>
    <row r="10" customFormat="false" ht="12.75" hidden="false" customHeight="true" outlineLevel="0" collapsed="false">
      <c r="A10" s="77" t="str">
        <f aca="false">J8</f>
        <v>U3</v>
      </c>
      <c r="B10" s="78" t="n">
        <f aca="false">K8</f>
        <v>-0.0143601373053857</v>
      </c>
      <c r="C10" s="77" t="str">
        <f aca="false">IF(K8&gt;=$K$3,"YES","NO")</f>
        <v>NO</v>
      </c>
      <c r="D10" s="75" t="n">
        <f aca="false">L8</f>
        <v>0.0106733399362981</v>
      </c>
      <c r="E10" s="76" t="str">
        <f aca="false">IF(L8&gt;=$K$3,"YES","NO")</f>
        <v>NO</v>
      </c>
      <c r="F10" s="5"/>
      <c r="G10" s="5"/>
      <c r="H10" s="5"/>
      <c r="I10" s="5"/>
      <c r="J10" s="7" t="s">
        <v>765</v>
      </c>
      <c r="K10" s="7" t="n">
        <f aca="false">(I_prop!B11+I_prop!C11+I_prop!D11+I_prop!E11+I_prop!F11+I_prop!G11+I_prop!H11)/7</f>
        <v>0</v>
      </c>
      <c r="L10" s="7" t="n">
        <f aca="false">(I_prop!B22+I_prop!C22+I_prop!D22+I_prop!E22+I_prop!F22+I_prop!G22+I_prop!H22)/7</f>
        <v>0</v>
      </c>
    </row>
    <row r="11" customFormat="false" ht="12.75" hidden="false" customHeight="true" outlineLevel="0" collapsed="false">
      <c r="A11" s="77" t="str">
        <f aca="false">J9</f>
        <v>U4</v>
      </c>
      <c r="B11" s="78" t="n">
        <f aca="false">K9</f>
        <v>-0.0122242051851281</v>
      </c>
      <c r="C11" s="77" t="str">
        <f aca="false">IF(K9&gt;=$K$3,"YES","NO")</f>
        <v>NO</v>
      </c>
      <c r="D11" s="75" t="n">
        <f aca="false">L9</f>
        <v>0.00145877937416746</v>
      </c>
      <c r="E11" s="76" t="str">
        <f aca="false">IF(L9&gt;=$K$3,"YES","NO")</f>
        <v>NO</v>
      </c>
      <c r="F11" s="5"/>
      <c r="G11" s="5"/>
      <c r="H11" s="5"/>
      <c r="I11" s="5"/>
      <c r="J11" s="7" t="s">
        <v>766</v>
      </c>
      <c r="K11" s="7" t="n">
        <f aca="false">(I_prop!B12+I_prop!C12+I_prop!D12+I_prop!E12+I_prop!F12+I_prop!G12+I_prop!H12)/7</f>
        <v>0</v>
      </c>
      <c r="L11" s="7" t="n">
        <f aca="false">(I_prop!B23+I_prop!C23+I_prop!D23+I_prop!E23+I_prop!F23+I_prop!G23+I_prop!H23)/7</f>
        <v>0</v>
      </c>
    </row>
    <row r="12" customFormat="false" ht="26.25" hidden="false" customHeight="true" outlineLevel="0" collapsed="false">
      <c r="A12" s="77" t="str">
        <f aca="false">J10</f>
        <v>U5</v>
      </c>
      <c r="B12" s="78" t="n">
        <f aca="false">K10</f>
        <v>0</v>
      </c>
      <c r="C12" s="77" t="str">
        <f aca="false">IF(K10&gt;=$K$3,"YES","NO")</f>
        <v>NO</v>
      </c>
      <c r="D12" s="75" t="n">
        <f aca="false">L10</f>
        <v>0</v>
      </c>
      <c r="E12" s="76" t="str">
        <f aca="false">IF(L10&gt;=$K$3,"YES","NO")</f>
        <v>NO</v>
      </c>
      <c r="F12" s="5"/>
      <c r="G12" s="5"/>
      <c r="H12" s="5"/>
      <c r="I12" s="5"/>
      <c r="J12" s="7" t="s">
        <v>768</v>
      </c>
      <c r="K12" s="7" t="n">
        <f aca="false">(I_prop!B13+I_prop!C13+I_prop!D13+I_prop!E13+I_prop!F13+I_prop!G13+I_prop!H13)/7</f>
        <v>0.00218807399390855</v>
      </c>
      <c r="L12" s="7" t="n">
        <f aca="false">(I_prop!B24+I_prop!C24+I_prop!D24+I_prop!E24+I_prop!F24+I_prop!G24+I_prop!H24)/7</f>
        <v>-0.00145877937416746</v>
      </c>
    </row>
    <row r="13" customFormat="false" ht="12.75" hidden="false" customHeight="true" outlineLevel="0" collapsed="false">
      <c r="A13" s="77" t="str">
        <f aca="false">J11</f>
        <v>U6</v>
      </c>
      <c r="B13" s="78" t="n">
        <f aca="false">K11</f>
        <v>0</v>
      </c>
      <c r="C13" s="77" t="str">
        <f aca="false">IF(K11&gt;=$K$3,"YES","NO")</f>
        <v>NO</v>
      </c>
      <c r="D13" s="75" t="n">
        <f aca="false">L11</f>
        <v>0</v>
      </c>
      <c r="E13" s="76" t="str">
        <f aca="false">IF(L11&gt;=$K$3,"YES","NO")</f>
        <v>NO</v>
      </c>
      <c r="F13" s="5"/>
      <c r="G13" s="5"/>
      <c r="H13" s="5"/>
      <c r="I13" s="5"/>
      <c r="J13" s="5"/>
      <c r="K13" s="5"/>
      <c r="L13" s="5"/>
    </row>
    <row r="14" customFormat="false" ht="39" hidden="false" customHeight="true" outlineLevel="0" collapsed="false">
      <c r="A14" s="77" t="str">
        <f aca="false">J12</f>
        <v>U7</v>
      </c>
      <c r="B14" s="78" t="n">
        <f aca="false">K12</f>
        <v>0.00218807399390855</v>
      </c>
      <c r="C14" s="77" t="str">
        <f aca="false">IF(K12&gt;=$K$3,"YES","NO")</f>
        <v>NO</v>
      </c>
      <c r="D14" s="75" t="n">
        <f aca="false">L12</f>
        <v>-0.00145877937416746</v>
      </c>
      <c r="E14" s="76" t="str">
        <f aca="false">IF(L12&gt;=$K$3,"YES","NO")</f>
        <v>NO</v>
      </c>
      <c r="F14" s="5"/>
      <c r="G14" s="5"/>
      <c r="H14" s="5"/>
      <c r="I14" s="5"/>
      <c r="J14" s="7" t="s">
        <v>1526</v>
      </c>
      <c r="K14" s="7" t="str">
        <f aca="false">IF(COUNTIF($K$6:$K$12,"&gt;="&amp;$K$3)=0,"PASS (vacuous)",IF(0&gt;=$K$4,"PASS","FAIL"))</f>
        <v>PASS</v>
      </c>
      <c r="L14" s="5"/>
    </row>
    <row r="15" customFormat="false" ht="39" hidden="false" customHeight="true" outlineLevel="0" collapsed="false">
      <c r="A15" s="7"/>
      <c r="B15" s="24"/>
      <c r="C15" s="7"/>
      <c r="D15" s="5"/>
      <c r="E15" s="5"/>
      <c r="F15" s="5"/>
      <c r="G15" s="5"/>
      <c r="H15" s="5"/>
      <c r="I15" s="5"/>
      <c r="J15" s="7" t="s">
        <v>1527</v>
      </c>
      <c r="K15" s="7" t="str">
        <f aca="false">IF(COUNTIF($L$6:$L$12,"&gt;="&amp;$K$3)=0,"PASS (vacuous)",IF(0&gt;=$K$4,"PASS","FAIL"))</f>
        <v>PASS (vacuous)</v>
      </c>
      <c r="L15" s="5"/>
    </row>
    <row r="16" customFormat="false" ht="12.75" hidden="false" customHeight="true" outlineLevel="0" collapsed="false">
      <c r="A16" s="7" t="s">
        <v>1528</v>
      </c>
      <c r="B16" s="5" t="s">
        <v>760</v>
      </c>
      <c r="C16" s="5"/>
      <c r="D16" s="5" t="s">
        <v>1529</v>
      </c>
      <c r="E16" s="5" t="s">
        <v>1530</v>
      </c>
      <c r="F16" s="5"/>
      <c r="G16" s="5"/>
      <c r="H16" s="5"/>
      <c r="I16" s="5"/>
      <c r="J16" s="5"/>
      <c r="K16" s="5"/>
      <c r="L16" s="5"/>
    </row>
    <row r="17" customFormat="false" ht="12.75" hidden="false" customHeight="true" outlineLevel="0" collapsed="false">
      <c r="A17" s="5" t="s">
        <v>1531</v>
      </c>
      <c r="B17" s="5" t="s">
        <v>1532</v>
      </c>
      <c r="C17" s="5"/>
      <c r="D17" s="5" t="s">
        <v>1531</v>
      </c>
      <c r="E17" s="5" t="s">
        <v>1533</v>
      </c>
      <c r="F17" s="5"/>
      <c r="G17" s="5"/>
      <c r="H17" s="5"/>
      <c r="I17" s="5"/>
      <c r="J17" s="5"/>
      <c r="K17" s="5"/>
      <c r="L17" s="5"/>
    </row>
    <row r="18" customFormat="false" ht="26.25" hidden="false" customHeight="true" outlineLevel="0" collapsed="false">
      <c r="A18" s="26"/>
      <c r="B18" s="5"/>
      <c r="C18" s="5"/>
      <c r="D18" s="5"/>
      <c r="E18" s="5"/>
      <c r="F18" s="5"/>
      <c r="G18" s="5"/>
      <c r="H18" s="5"/>
      <c r="I18" s="5"/>
      <c r="J18" s="5"/>
      <c r="K18" s="5"/>
      <c r="L18" s="5"/>
    </row>
    <row r="19" customFormat="false" ht="12.75" hidden="false" customHeight="true" outlineLevel="0" collapsed="false">
      <c r="A19" s="5" t="s">
        <v>1526</v>
      </c>
      <c r="B19" s="5" t="str">
        <f aca="false">K14</f>
        <v>PASS</v>
      </c>
      <c r="C19" s="5"/>
      <c r="D19" s="5" t="s">
        <v>1527</v>
      </c>
      <c r="E19" s="5" t="str">
        <f aca="false">K15</f>
        <v>PASS (vacuous)</v>
      </c>
      <c r="F19" s="5"/>
      <c r="G19" s="5"/>
      <c r="H19" s="5"/>
      <c r="I19" s="5"/>
      <c r="J19" s="5"/>
      <c r="K19" s="5"/>
      <c r="L19" s="5"/>
    </row>
    <row r="20" customFormat="false" ht="12.75" hidden="false" customHeight="true" outlineLevel="0" collapsed="false">
      <c r="A20" s="23"/>
      <c r="B20" s="5"/>
      <c r="C20" s="5"/>
      <c r="D20" s="5"/>
      <c r="E20" s="5"/>
      <c r="F20" s="5"/>
      <c r="G20" s="5"/>
      <c r="H20" s="5"/>
      <c r="I20" s="5"/>
      <c r="J20" s="5"/>
      <c r="K20" s="5"/>
      <c r="L20" s="5"/>
    </row>
    <row r="21" customFormat="false" ht="12.75" hidden="false" customHeight="true" outlineLevel="0" collapsed="false">
      <c r="A21" s="23" t="s">
        <v>1534</v>
      </c>
      <c r="B21" s="23" t="s">
        <v>1535</v>
      </c>
      <c r="C21" s="23"/>
      <c r="D21" s="5" t="s">
        <v>329</v>
      </c>
      <c r="E21" s="5" t="s">
        <v>1536</v>
      </c>
      <c r="F21" s="5"/>
      <c r="G21" s="5"/>
      <c r="H21" s="5"/>
      <c r="I21" s="5"/>
      <c r="J21" s="5"/>
      <c r="K21" s="5"/>
      <c r="L21" s="5"/>
    </row>
    <row r="22" customFormat="false" ht="12.75" hidden="false" customHeight="true" outlineLevel="0" collapsed="false">
      <c r="A22" s="7"/>
      <c r="B22" s="7"/>
      <c r="C22" s="7"/>
      <c r="D22" s="5"/>
      <c r="E22" s="5"/>
      <c r="F22" s="5"/>
      <c r="G22" s="5"/>
      <c r="H22" s="5"/>
      <c r="I22" s="5"/>
      <c r="J22" s="5"/>
      <c r="K22" s="5"/>
      <c r="L22" s="5"/>
    </row>
    <row r="23" customFormat="false" ht="12.75" hidden="false" customHeight="true" outlineLevel="0" collapsed="false">
      <c r="A23" s="7" t="s">
        <v>721</v>
      </c>
      <c r="B23" s="7" t="s">
        <v>1537</v>
      </c>
      <c r="C23" s="7"/>
      <c r="D23" s="5"/>
      <c r="E23" s="5"/>
      <c r="F23" s="5"/>
      <c r="G23" s="5"/>
      <c r="H23" s="5"/>
      <c r="I23" s="5"/>
      <c r="J23" s="5"/>
      <c r="K23" s="5"/>
      <c r="L23" s="5"/>
    </row>
    <row r="24" customFormat="false" ht="12.75" hidden="false" customHeight="true" outlineLevel="0" collapsed="false">
      <c r="A24" s="7" t="s">
        <v>1538</v>
      </c>
      <c r="B24" s="24" t="s">
        <v>1539</v>
      </c>
      <c r="C24" s="7"/>
      <c r="D24" s="5"/>
      <c r="E24" s="5"/>
      <c r="F24" s="5"/>
      <c r="G24" s="5"/>
      <c r="H24" s="5"/>
      <c r="I24" s="5"/>
      <c r="J24" s="5"/>
      <c r="K24" s="5"/>
      <c r="L24" s="5"/>
    </row>
    <row r="25" customFormat="false" ht="12.75" hidden="false" customHeight="true" outlineLevel="0" collapsed="false">
      <c r="A25" s="7" t="s">
        <v>1540</v>
      </c>
      <c r="B25" s="24" t="s">
        <v>1541</v>
      </c>
      <c r="C25" s="7"/>
      <c r="D25" s="5"/>
      <c r="E25" s="5"/>
      <c r="F25" s="5"/>
      <c r="G25" s="5"/>
      <c r="H25" s="5"/>
      <c r="I25" s="5"/>
      <c r="J25" s="5"/>
      <c r="K25" s="5"/>
      <c r="L25" s="5"/>
    </row>
    <row r="26" customFormat="false" ht="12.75" hidden="false" customHeight="true" outlineLevel="0" collapsed="false">
      <c r="A26" s="7" t="s">
        <v>1542</v>
      </c>
      <c r="B26" s="24" t="s">
        <v>1543</v>
      </c>
      <c r="C26" s="7" t="s">
        <v>1544</v>
      </c>
      <c r="D26" s="5"/>
      <c r="E26" s="5"/>
      <c r="F26" s="5"/>
      <c r="G26" s="5"/>
      <c r="H26" s="5"/>
      <c r="I26" s="5"/>
      <c r="J26" s="5"/>
      <c r="K26" s="5"/>
      <c r="L26" s="5"/>
    </row>
    <row r="27" customFormat="false" ht="12.75" hidden="false" customHeight="true" outlineLevel="0" collapsed="false">
      <c r="A27" s="7" t="s">
        <v>1545</v>
      </c>
      <c r="B27" s="24" t="s">
        <v>1546</v>
      </c>
      <c r="C27" s="7" t="s">
        <v>1547</v>
      </c>
      <c r="D27" s="5"/>
      <c r="E27" s="5"/>
      <c r="F27" s="5"/>
      <c r="G27" s="5"/>
      <c r="H27" s="5"/>
      <c r="I27" s="5"/>
      <c r="J27" s="5"/>
      <c r="K27" s="5"/>
      <c r="L27" s="5"/>
    </row>
    <row r="28" customFormat="false" ht="12.75" hidden="false" customHeight="true" outlineLevel="0" collapsed="false">
      <c r="A28" s="7" t="s">
        <v>1548</v>
      </c>
      <c r="B28" s="24" t="s">
        <v>1549</v>
      </c>
      <c r="C28" s="7" t="s">
        <v>1550</v>
      </c>
      <c r="D28" s="5"/>
      <c r="E28" s="5"/>
      <c r="F28" s="5"/>
      <c r="G28" s="5"/>
      <c r="H28" s="5"/>
      <c r="I28" s="5"/>
      <c r="J28" s="5"/>
      <c r="K28" s="5"/>
      <c r="L28" s="5"/>
    </row>
    <row r="29" customFormat="false" ht="12.75" hidden="false" customHeight="true" outlineLevel="0" collapsed="false">
      <c r="A29" s="7" t="s">
        <v>1551</v>
      </c>
      <c r="B29" s="24" t="s">
        <v>1552</v>
      </c>
      <c r="C29" s="5"/>
      <c r="D29" s="5"/>
      <c r="E29" s="5"/>
      <c r="F29" s="5"/>
      <c r="G29" s="5"/>
      <c r="H29" s="5"/>
      <c r="I29" s="5"/>
      <c r="J29" s="5"/>
      <c r="K29" s="5"/>
      <c r="L29" s="5"/>
    </row>
    <row r="30" customFormat="false" ht="12.75" hidden="false" customHeight="true" outlineLevel="0" collapsed="false">
      <c r="A30" s="7"/>
      <c r="B30" s="24"/>
      <c r="C30" s="5"/>
      <c r="D30" s="5"/>
      <c r="E30" s="5"/>
      <c r="F30" s="5"/>
      <c r="G30" s="5"/>
      <c r="H30" s="5"/>
      <c r="I30" s="5"/>
      <c r="J30" s="5"/>
      <c r="K30" s="5"/>
      <c r="L30" s="5"/>
    </row>
    <row r="31" customFormat="false" ht="12.75" hidden="false" customHeight="true" outlineLevel="0" collapsed="false">
      <c r="A31" s="26"/>
      <c r="B31" s="5"/>
      <c r="C31" s="5"/>
      <c r="D31" s="5"/>
      <c r="E31" s="5"/>
      <c r="F31" s="5"/>
      <c r="G31" s="5"/>
      <c r="H31" s="5"/>
      <c r="I31" s="5"/>
      <c r="J31" s="5"/>
      <c r="K31" s="5"/>
      <c r="L31" s="5"/>
    </row>
    <row r="32" customFormat="false" ht="12.75" hidden="false" customHeight="true" outlineLevel="0" collapsed="false">
      <c r="A32" s="7" t="s">
        <v>1553</v>
      </c>
      <c r="B32" s="5"/>
      <c r="C32" s="5"/>
      <c r="D32" s="5"/>
      <c r="E32" s="5"/>
      <c r="F32" s="5"/>
      <c r="G32" s="5"/>
      <c r="H32" s="5"/>
      <c r="I32" s="5"/>
      <c r="J32" s="5"/>
      <c r="K32" s="5"/>
      <c r="L32" s="5"/>
    </row>
    <row r="33" customFormat="false" ht="12.75" hidden="false" customHeight="true" outlineLevel="0" collapsed="false">
      <c r="A33" s="23" t="s">
        <v>1535</v>
      </c>
      <c r="B33" s="5"/>
      <c r="C33" s="5"/>
      <c r="D33" s="5"/>
      <c r="E33" s="5"/>
      <c r="F33" s="5"/>
      <c r="G33" s="5"/>
      <c r="H33" s="5"/>
      <c r="I33" s="5"/>
      <c r="J33" s="5"/>
      <c r="K33" s="5"/>
      <c r="L33" s="5"/>
    </row>
    <row r="34" customFormat="false" ht="52.5" hidden="false" customHeight="true" outlineLevel="0" collapsed="false">
      <c r="A34" s="7" t="s">
        <v>1554</v>
      </c>
      <c r="B34" s="5"/>
      <c r="C34" s="5"/>
      <c r="D34" s="5"/>
      <c r="E34" s="5"/>
      <c r="F34" s="5"/>
      <c r="G34" s="5"/>
      <c r="H34" s="5"/>
      <c r="I34" s="5"/>
      <c r="J34" s="5"/>
      <c r="K34" s="5"/>
      <c r="L34" s="5"/>
    </row>
    <row r="35" customFormat="false" ht="26.25" hidden="false" customHeight="true" outlineLevel="0" collapsed="false">
      <c r="A35" s="7" t="str">
        <f aca="false">IF(Dashboard!$B$36="YES","NOTE: Informational only (TRC fallback active).","NOTE: Normal mode (containment evaluated for admissible options).")</f>
        <v>NOTE: Normal mode (containment evaluated for admissible options).</v>
      </c>
      <c r="B35" s="5"/>
      <c r="C35" s="5"/>
      <c r="D35" s="5"/>
      <c r="E35" s="5"/>
      <c r="F35" s="5"/>
      <c r="G35" s="5"/>
      <c r="H35" s="5"/>
      <c r="I35" s="5"/>
      <c r="J35" s="5"/>
      <c r="K35" s="5"/>
      <c r="L35" s="5"/>
    </row>
    <row r="36" customFormat="false" ht="12.75" hidden="false" customHeight="true" outlineLevel="0" collapsed="false">
      <c r="A36" s="79"/>
      <c r="B36" s="5"/>
      <c r="C36" s="5"/>
      <c r="D36" s="5"/>
      <c r="E36" s="5"/>
      <c r="F36" s="5"/>
      <c r="G36" s="5"/>
      <c r="H36" s="5"/>
      <c r="I36" s="5"/>
      <c r="J36" s="5"/>
      <c r="K36" s="5"/>
      <c r="L36" s="5"/>
    </row>
    <row r="37" customFormat="false" ht="12.75" hidden="false" customHeight="true" outlineLevel="0" collapsed="false">
      <c r="A37" s="5"/>
      <c r="B37" s="5"/>
      <c r="C37" s="5"/>
      <c r="D37" s="5"/>
      <c r="E37" s="5"/>
      <c r="F37" s="5"/>
      <c r="G37" s="5"/>
      <c r="H37" s="5"/>
      <c r="I37" s="5"/>
      <c r="J37" s="5"/>
      <c r="K37" s="5"/>
      <c r="L37" s="5"/>
    </row>
    <row r="38" customFormat="false" ht="12.75" hidden="false" customHeight="true" outlineLevel="0" collapsed="false">
      <c r="A38" s="5"/>
      <c r="B38" s="5"/>
      <c r="C38" s="5"/>
      <c r="D38" s="5"/>
      <c r="E38" s="5"/>
      <c r="F38" s="5"/>
      <c r="G38" s="5"/>
      <c r="H38" s="5"/>
      <c r="I38" s="5"/>
      <c r="J38" s="5"/>
      <c r="K38" s="5"/>
      <c r="L38" s="5"/>
    </row>
    <row r="39" customFormat="false" ht="12.75" hidden="false" customHeight="true" outlineLevel="0" collapsed="false">
      <c r="A39" s="5"/>
      <c r="B39" s="5"/>
      <c r="C39" s="5"/>
      <c r="D39" s="5"/>
      <c r="E39" s="5"/>
      <c r="F39" s="5"/>
      <c r="G39" s="5"/>
      <c r="H39" s="5"/>
      <c r="I39" s="5"/>
      <c r="J39" s="5"/>
      <c r="K39" s="5"/>
      <c r="L39" s="5"/>
    </row>
    <row r="40" customFormat="false" ht="12.75" hidden="false" customHeight="true" outlineLevel="0" collapsed="false">
      <c r="A40" s="5"/>
      <c r="B40" s="5"/>
      <c r="C40" s="5"/>
      <c r="D40" s="5"/>
      <c r="E40" s="5"/>
      <c r="F40" s="5"/>
      <c r="G40" s="5"/>
      <c r="H40" s="5"/>
      <c r="I40" s="5"/>
      <c r="J40" s="5"/>
      <c r="K40" s="5"/>
      <c r="L40" s="5"/>
    </row>
    <row r="41" customFormat="false" ht="12.75" hidden="false" customHeight="true" outlineLevel="0" collapsed="false">
      <c r="A41" s="5"/>
      <c r="B41" s="5"/>
      <c r="C41" s="5"/>
      <c r="D41" s="5"/>
      <c r="E41" s="5"/>
      <c r="F41" s="5"/>
      <c r="G41" s="5"/>
      <c r="H41" s="5"/>
      <c r="I41" s="5"/>
      <c r="J41" s="5"/>
      <c r="K41" s="5"/>
      <c r="L41" s="5"/>
    </row>
    <row r="42" customFormat="false" ht="12.75" hidden="false" customHeight="true" outlineLevel="0" collapsed="false">
      <c r="A42" s="5"/>
      <c r="B42" s="5"/>
      <c r="C42" s="5"/>
      <c r="D42" s="5"/>
      <c r="E42" s="5"/>
      <c r="F42" s="5"/>
      <c r="G42" s="5"/>
      <c r="H42" s="5"/>
      <c r="I42" s="5"/>
      <c r="J42" s="5"/>
      <c r="K42" s="5"/>
      <c r="L42" s="5"/>
    </row>
    <row r="43" customFormat="false" ht="12.75" hidden="false" customHeight="true" outlineLevel="0" collapsed="false">
      <c r="A43" s="5"/>
      <c r="B43" s="5"/>
      <c r="C43" s="5"/>
      <c r="D43" s="5"/>
      <c r="E43" s="5"/>
      <c r="F43" s="5"/>
      <c r="G43" s="5"/>
      <c r="H43" s="5"/>
      <c r="I43" s="5"/>
      <c r="J43" s="5"/>
      <c r="K43" s="5"/>
      <c r="L43" s="5"/>
    </row>
    <row r="44" customFormat="false" ht="12.75" hidden="false" customHeight="true" outlineLevel="0" collapsed="false">
      <c r="A44" s="5"/>
      <c r="B44" s="5"/>
      <c r="C44" s="5"/>
      <c r="D44" s="5"/>
      <c r="E44" s="5"/>
      <c r="F44" s="5"/>
      <c r="G44" s="5"/>
      <c r="H44" s="5"/>
      <c r="I44" s="5"/>
      <c r="J44" s="5"/>
      <c r="K44" s="5"/>
      <c r="L44" s="5"/>
    </row>
    <row r="45" customFormat="false" ht="12.75" hidden="false" customHeight="true" outlineLevel="0" collapsed="false">
      <c r="A45" s="5"/>
      <c r="B45" s="5"/>
      <c r="C45" s="5"/>
      <c r="D45" s="5"/>
      <c r="E45" s="5"/>
      <c r="F45" s="5"/>
      <c r="G45" s="5"/>
      <c r="H45" s="5"/>
      <c r="I45" s="5"/>
      <c r="J45" s="5"/>
      <c r="K45" s="5"/>
      <c r="L45" s="5"/>
    </row>
    <row r="46" customFormat="false" ht="12.75" hidden="false" customHeight="true" outlineLevel="0" collapsed="false">
      <c r="A46" s="5"/>
      <c r="B46" s="5"/>
      <c r="C46" s="5"/>
      <c r="D46" s="5"/>
      <c r="E46" s="5"/>
      <c r="F46" s="5"/>
      <c r="G46" s="5"/>
      <c r="H46" s="5"/>
      <c r="I46" s="5"/>
      <c r="J46" s="5"/>
      <c r="K46" s="5"/>
      <c r="L46" s="5"/>
    </row>
    <row r="47" customFormat="false" ht="12.75" hidden="false" customHeight="true" outlineLevel="0" collapsed="false">
      <c r="A47" s="5"/>
      <c r="B47" s="5"/>
      <c r="C47" s="5"/>
      <c r="D47" s="5"/>
      <c r="E47" s="5"/>
      <c r="F47" s="5"/>
      <c r="G47" s="5"/>
      <c r="H47" s="5"/>
      <c r="I47" s="5"/>
      <c r="J47" s="5"/>
      <c r="K47" s="5"/>
      <c r="L47" s="5"/>
    </row>
    <row r="48" customFormat="false" ht="12.75" hidden="false" customHeight="true" outlineLevel="0" collapsed="false">
      <c r="A48" s="5"/>
      <c r="B48" s="5"/>
      <c r="C48" s="5"/>
      <c r="D48" s="5"/>
      <c r="E48" s="5"/>
      <c r="F48" s="5"/>
      <c r="G48" s="5"/>
      <c r="H48" s="5"/>
      <c r="I48" s="5"/>
      <c r="J48" s="5"/>
      <c r="K48" s="5"/>
      <c r="L48" s="5"/>
    </row>
    <row r="49" customFormat="false" ht="12.75" hidden="false" customHeight="true" outlineLevel="0" collapsed="false">
      <c r="A49" s="5"/>
      <c r="B49" s="5"/>
      <c r="C49" s="5"/>
      <c r="D49" s="5"/>
      <c r="E49" s="5"/>
      <c r="F49" s="5"/>
      <c r="G49" s="5"/>
      <c r="H49" s="5"/>
      <c r="I49" s="5"/>
      <c r="J49" s="5"/>
      <c r="K49" s="5"/>
      <c r="L49" s="5"/>
    </row>
    <row r="50" customFormat="false" ht="12.75" hidden="false" customHeight="true" outlineLevel="0" collapsed="false">
      <c r="A50" s="5"/>
      <c r="B50" s="5"/>
      <c r="C50" s="5"/>
      <c r="D50" s="5"/>
      <c r="E50" s="5"/>
      <c r="F50" s="5"/>
      <c r="G50" s="5"/>
      <c r="H50" s="5"/>
      <c r="I50" s="5"/>
      <c r="J50" s="5"/>
      <c r="K50" s="5"/>
      <c r="L50" s="5"/>
    </row>
    <row r="51" customFormat="false" ht="12.75" hidden="false" customHeight="true" outlineLevel="0" collapsed="false">
      <c r="A51" s="5"/>
      <c r="B51" s="5"/>
      <c r="C51" s="5"/>
      <c r="D51" s="5"/>
      <c r="E51" s="5"/>
      <c r="F51" s="5"/>
      <c r="G51" s="5"/>
      <c r="H51" s="5"/>
      <c r="I51" s="5"/>
      <c r="J51" s="5"/>
      <c r="K51" s="5"/>
      <c r="L51" s="5"/>
    </row>
    <row r="52" customFormat="false" ht="12.75" hidden="false" customHeight="true" outlineLevel="0" collapsed="false">
      <c r="A52" s="5"/>
      <c r="B52" s="5"/>
      <c r="C52" s="5"/>
      <c r="D52" s="5"/>
      <c r="E52" s="5"/>
      <c r="F52" s="5"/>
      <c r="G52" s="5"/>
      <c r="H52" s="5"/>
      <c r="I52" s="5"/>
      <c r="J52" s="5"/>
      <c r="K52" s="5"/>
      <c r="L52" s="5"/>
    </row>
    <row r="53" customFormat="false" ht="12.75" hidden="false" customHeight="true" outlineLevel="0" collapsed="false">
      <c r="A53" s="5"/>
      <c r="B53" s="5"/>
      <c r="C53" s="5"/>
      <c r="D53" s="5"/>
      <c r="E53" s="5"/>
      <c r="F53" s="5"/>
      <c r="G53" s="5"/>
      <c r="H53" s="5"/>
      <c r="I53" s="5"/>
      <c r="J53" s="5"/>
      <c r="K53" s="5"/>
      <c r="L53" s="5"/>
    </row>
    <row r="54" customFormat="false" ht="12.75" hidden="false" customHeight="true" outlineLevel="0" collapsed="false">
      <c r="A54" s="5"/>
      <c r="B54" s="5"/>
      <c r="C54" s="5"/>
      <c r="D54" s="5"/>
      <c r="E54" s="5"/>
      <c r="F54" s="5"/>
      <c r="G54" s="5"/>
      <c r="H54" s="5"/>
      <c r="I54" s="5"/>
      <c r="J54" s="5"/>
      <c r="K54" s="5"/>
      <c r="L54" s="5"/>
    </row>
    <row r="55" customFormat="false" ht="12.75" hidden="false" customHeight="true" outlineLevel="0" collapsed="false">
      <c r="A55" s="5"/>
      <c r="B55" s="5"/>
      <c r="C55" s="5"/>
      <c r="D55" s="5"/>
      <c r="E55" s="5"/>
      <c r="F55" s="5"/>
      <c r="G55" s="5"/>
      <c r="H55" s="5"/>
      <c r="I55" s="5"/>
      <c r="J55" s="5"/>
      <c r="K55" s="5"/>
      <c r="L55" s="5"/>
    </row>
    <row r="56" customFormat="false" ht="12.75" hidden="false" customHeight="true" outlineLevel="0" collapsed="false">
      <c r="A56" s="5"/>
      <c r="B56" s="5"/>
      <c r="C56" s="5"/>
      <c r="D56" s="5"/>
      <c r="E56" s="5"/>
      <c r="F56" s="5"/>
      <c r="G56" s="5"/>
      <c r="H56" s="5"/>
      <c r="I56" s="5"/>
      <c r="J56" s="5"/>
      <c r="K56" s="5"/>
      <c r="L56" s="5"/>
    </row>
    <row r="57" customFormat="false" ht="12.75" hidden="false" customHeight="true" outlineLevel="0" collapsed="false">
      <c r="A57" s="5"/>
      <c r="B57" s="5"/>
      <c r="C57" s="5"/>
      <c r="D57" s="5"/>
      <c r="E57" s="5"/>
      <c r="F57" s="5"/>
      <c r="G57" s="5"/>
      <c r="H57" s="5"/>
      <c r="I57" s="5"/>
      <c r="J57" s="5"/>
      <c r="K57" s="5"/>
      <c r="L57" s="5"/>
    </row>
    <row r="58" customFormat="false" ht="12.75" hidden="false" customHeight="true" outlineLevel="0" collapsed="false">
      <c r="A58" s="5"/>
      <c r="B58" s="5"/>
      <c r="C58" s="5"/>
      <c r="D58" s="5"/>
      <c r="E58" s="5"/>
      <c r="F58" s="5"/>
      <c r="G58" s="5"/>
      <c r="H58" s="5"/>
      <c r="I58" s="5"/>
      <c r="J58" s="5"/>
      <c r="K58" s="5"/>
      <c r="L58" s="5"/>
    </row>
    <row r="59" customFormat="false" ht="12.75" hidden="false" customHeight="true" outlineLevel="0" collapsed="false">
      <c r="A59" s="5"/>
      <c r="B59" s="5"/>
      <c r="C59" s="5"/>
      <c r="D59" s="5"/>
      <c r="E59" s="5"/>
      <c r="F59" s="5"/>
      <c r="G59" s="5"/>
      <c r="H59" s="5"/>
      <c r="I59" s="5"/>
      <c r="J59" s="5"/>
      <c r="K59" s="5"/>
      <c r="L59" s="5"/>
    </row>
    <row r="60" customFormat="false" ht="12.75" hidden="false" customHeight="true" outlineLevel="0" collapsed="false">
      <c r="A60" s="5"/>
      <c r="B60" s="5"/>
      <c r="C60" s="5"/>
      <c r="D60" s="5"/>
      <c r="E60" s="5"/>
      <c r="F60" s="5"/>
      <c r="G60" s="5"/>
      <c r="H60" s="5"/>
      <c r="I60" s="5"/>
      <c r="J60" s="5"/>
      <c r="K60" s="5"/>
      <c r="L60" s="5"/>
    </row>
    <row r="61" customFormat="false" ht="12.75" hidden="false" customHeight="true" outlineLevel="0" collapsed="false">
      <c r="A61" s="5"/>
      <c r="B61" s="5"/>
      <c r="C61" s="5"/>
      <c r="D61" s="5"/>
      <c r="E61" s="5"/>
      <c r="F61" s="5"/>
      <c r="G61" s="5"/>
      <c r="H61" s="5"/>
      <c r="I61" s="5"/>
      <c r="J61" s="5"/>
      <c r="K61" s="5"/>
      <c r="L61" s="5"/>
    </row>
    <row r="62" customFormat="false" ht="12.75" hidden="false" customHeight="true" outlineLevel="0" collapsed="false">
      <c r="A62" s="5"/>
      <c r="B62" s="5"/>
      <c r="C62" s="5"/>
      <c r="D62" s="5"/>
      <c r="E62" s="5"/>
      <c r="F62" s="5"/>
      <c r="G62" s="5"/>
      <c r="H62" s="5"/>
      <c r="I62" s="5"/>
      <c r="J62" s="5"/>
      <c r="K62" s="5"/>
      <c r="L62" s="5"/>
    </row>
    <row r="63" customFormat="false" ht="12.75" hidden="false" customHeight="true" outlineLevel="0" collapsed="false">
      <c r="A63" s="5"/>
      <c r="B63" s="5"/>
      <c r="C63" s="5"/>
      <c r="D63" s="5"/>
      <c r="E63" s="5"/>
      <c r="F63" s="5"/>
      <c r="G63" s="5"/>
      <c r="H63" s="5"/>
      <c r="I63" s="5"/>
      <c r="J63" s="5"/>
      <c r="K63" s="5"/>
      <c r="L63" s="5"/>
    </row>
    <row r="64" customFormat="false" ht="12.75" hidden="false" customHeight="true" outlineLevel="0" collapsed="false">
      <c r="A64" s="5"/>
      <c r="B64" s="5"/>
      <c r="C64" s="5"/>
      <c r="D64" s="5"/>
      <c r="E64" s="5"/>
      <c r="F64" s="5"/>
      <c r="G64" s="5"/>
      <c r="H64" s="5"/>
      <c r="I64" s="5"/>
      <c r="J64" s="5"/>
      <c r="K64" s="5"/>
      <c r="L64" s="5"/>
    </row>
    <row r="65" customFormat="false" ht="12.75" hidden="false" customHeight="true" outlineLevel="0" collapsed="false">
      <c r="A65" s="5"/>
      <c r="B65" s="5"/>
      <c r="C65" s="5"/>
      <c r="D65" s="5"/>
      <c r="E65" s="5"/>
      <c r="F65" s="5"/>
      <c r="G65" s="5"/>
      <c r="H65" s="5"/>
      <c r="I65" s="5"/>
      <c r="J65" s="5"/>
      <c r="K65" s="5"/>
      <c r="L65" s="5"/>
    </row>
    <row r="66" customFormat="false" ht="12.75" hidden="false" customHeight="true" outlineLevel="0" collapsed="false">
      <c r="A66" s="5"/>
      <c r="B66" s="5"/>
      <c r="C66" s="5"/>
      <c r="D66" s="5"/>
      <c r="E66" s="5"/>
      <c r="F66" s="5"/>
      <c r="G66" s="5"/>
      <c r="H66" s="5"/>
      <c r="I66" s="5"/>
      <c r="J66" s="5"/>
      <c r="K66" s="5"/>
      <c r="L66" s="5"/>
    </row>
    <row r="67" customFormat="false" ht="12.75" hidden="false" customHeight="true" outlineLevel="0" collapsed="false">
      <c r="A67" s="5"/>
      <c r="B67" s="5"/>
      <c r="C67" s="5"/>
      <c r="D67" s="5"/>
      <c r="E67" s="5"/>
      <c r="F67" s="5"/>
      <c r="G67" s="5"/>
      <c r="H67" s="5"/>
      <c r="I67" s="5"/>
      <c r="J67" s="5"/>
      <c r="K67" s="5"/>
      <c r="L67" s="5"/>
    </row>
    <row r="68" customFormat="false" ht="12.75" hidden="false" customHeight="true" outlineLevel="0" collapsed="false">
      <c r="A68" s="5"/>
      <c r="B68" s="5"/>
      <c r="C68" s="5"/>
      <c r="D68" s="5"/>
      <c r="E68" s="5"/>
      <c r="F68" s="5"/>
      <c r="G68" s="5"/>
      <c r="H68" s="5"/>
      <c r="I68" s="5"/>
      <c r="J68" s="5"/>
      <c r="K68" s="5"/>
      <c r="L68" s="5"/>
    </row>
    <row r="69" customFormat="false" ht="12.75" hidden="false" customHeight="true" outlineLevel="0" collapsed="false">
      <c r="A69" s="5"/>
      <c r="B69" s="5"/>
      <c r="C69" s="5"/>
      <c r="D69" s="5"/>
      <c r="E69" s="5"/>
      <c r="F69" s="5"/>
      <c r="G69" s="5"/>
      <c r="H69" s="5"/>
      <c r="I69" s="5"/>
      <c r="J69" s="5"/>
      <c r="K69" s="5"/>
      <c r="L69" s="5"/>
    </row>
    <row r="70" customFormat="false" ht="12.75" hidden="false" customHeight="true" outlineLevel="0" collapsed="false">
      <c r="A70" s="5"/>
      <c r="B70" s="5"/>
      <c r="C70" s="5"/>
      <c r="D70" s="5"/>
      <c r="E70" s="5"/>
      <c r="F70" s="5"/>
      <c r="G70" s="5"/>
      <c r="H70" s="5"/>
      <c r="I70" s="5"/>
      <c r="J70" s="5"/>
      <c r="K70" s="5"/>
      <c r="L70" s="5"/>
    </row>
    <row r="71" customFormat="false" ht="12.75" hidden="false" customHeight="true" outlineLevel="0" collapsed="false">
      <c r="A71" s="5"/>
      <c r="B71" s="5"/>
      <c r="C71" s="5"/>
      <c r="D71" s="5"/>
      <c r="E71" s="5"/>
      <c r="F71" s="5"/>
      <c r="G71" s="5"/>
      <c r="H71" s="5"/>
      <c r="I71" s="5"/>
      <c r="J71" s="5"/>
      <c r="K71" s="5"/>
      <c r="L71" s="5"/>
    </row>
    <row r="72" customFormat="false" ht="12.75" hidden="false" customHeight="true" outlineLevel="0" collapsed="false">
      <c r="A72" s="5"/>
      <c r="B72" s="5"/>
      <c r="C72" s="5"/>
      <c r="D72" s="5"/>
      <c r="E72" s="5"/>
      <c r="F72" s="5"/>
      <c r="G72" s="5"/>
      <c r="H72" s="5"/>
      <c r="I72" s="5"/>
      <c r="J72" s="5"/>
      <c r="K72" s="5"/>
      <c r="L72" s="5"/>
    </row>
    <row r="73" customFormat="false" ht="12.75" hidden="false" customHeight="true" outlineLevel="0" collapsed="false">
      <c r="A73" s="5"/>
      <c r="B73" s="5"/>
      <c r="C73" s="5"/>
      <c r="D73" s="5"/>
      <c r="E73" s="5"/>
      <c r="F73" s="5"/>
      <c r="G73" s="5"/>
      <c r="H73" s="5"/>
      <c r="I73" s="5"/>
      <c r="J73" s="5"/>
      <c r="K73" s="5"/>
      <c r="L73" s="5"/>
    </row>
    <row r="74" customFormat="false" ht="12.75" hidden="false" customHeight="true" outlineLevel="0" collapsed="false">
      <c r="A74" s="5"/>
      <c r="B74" s="5"/>
      <c r="C74" s="5"/>
      <c r="D74" s="5"/>
      <c r="E74" s="5"/>
      <c r="F74" s="5"/>
      <c r="G74" s="5"/>
      <c r="H74" s="5"/>
      <c r="I74" s="5"/>
      <c r="J74" s="5"/>
      <c r="K74" s="5"/>
      <c r="L74" s="5"/>
    </row>
    <row r="75" customFormat="false" ht="12.75" hidden="false" customHeight="true" outlineLevel="0" collapsed="false">
      <c r="A75" s="5"/>
      <c r="B75" s="5"/>
      <c r="C75" s="5"/>
      <c r="D75" s="5"/>
      <c r="E75" s="5"/>
      <c r="F75" s="5"/>
      <c r="G75" s="5"/>
      <c r="H75" s="5"/>
      <c r="I75" s="5"/>
      <c r="J75" s="5"/>
      <c r="K75" s="5"/>
      <c r="L75" s="5"/>
    </row>
    <row r="76" customFormat="false" ht="12.75" hidden="false" customHeight="true" outlineLevel="0" collapsed="false">
      <c r="A76" s="5"/>
      <c r="B76" s="5"/>
      <c r="C76" s="5"/>
      <c r="D76" s="5"/>
      <c r="E76" s="5"/>
      <c r="F76" s="5"/>
      <c r="G76" s="5"/>
      <c r="H76" s="5"/>
      <c r="I76" s="5"/>
      <c r="J76" s="5"/>
      <c r="K76" s="5"/>
      <c r="L76" s="5"/>
    </row>
    <row r="77" customFormat="false" ht="12.75" hidden="false" customHeight="true" outlineLevel="0" collapsed="false">
      <c r="A77" s="5"/>
      <c r="B77" s="5"/>
      <c r="C77" s="5"/>
      <c r="D77" s="5"/>
      <c r="E77" s="5"/>
      <c r="F77" s="5"/>
      <c r="G77" s="5"/>
      <c r="H77" s="5"/>
      <c r="I77" s="5"/>
      <c r="J77" s="5"/>
      <c r="K77" s="5"/>
      <c r="L77" s="5"/>
    </row>
    <row r="78" customFormat="false" ht="12.75" hidden="false" customHeight="true" outlineLevel="0" collapsed="false">
      <c r="A78" s="5"/>
      <c r="B78" s="5"/>
      <c r="C78" s="5"/>
      <c r="D78" s="5"/>
      <c r="E78" s="5"/>
      <c r="F78" s="5"/>
      <c r="G78" s="5"/>
      <c r="H78" s="5"/>
      <c r="I78" s="5"/>
      <c r="J78" s="5"/>
      <c r="K78" s="5"/>
      <c r="L78" s="5"/>
    </row>
    <row r="79" customFormat="false" ht="12.75" hidden="false" customHeight="true" outlineLevel="0" collapsed="false">
      <c r="A79" s="5"/>
      <c r="B79" s="5"/>
      <c r="C79" s="5"/>
      <c r="D79" s="5"/>
      <c r="E79" s="5"/>
      <c r="F79" s="5"/>
      <c r="G79" s="5"/>
      <c r="H79" s="5"/>
      <c r="I79" s="5"/>
      <c r="J79" s="5"/>
      <c r="K79" s="5"/>
      <c r="L79" s="5"/>
    </row>
    <row r="80" customFormat="false" ht="12.75" hidden="false" customHeight="true" outlineLevel="0" collapsed="false">
      <c r="A80" s="5"/>
      <c r="B80" s="5"/>
      <c r="C80" s="5"/>
      <c r="D80" s="5"/>
      <c r="E80" s="5"/>
      <c r="F80" s="5"/>
      <c r="G80" s="5"/>
      <c r="H80" s="5"/>
      <c r="I80" s="5"/>
      <c r="J80" s="5"/>
      <c r="K80" s="5"/>
      <c r="L80" s="5"/>
    </row>
    <row r="81" customFormat="false" ht="12.75" hidden="false" customHeight="false" outlineLevel="0" collapsed="false">
      <c r="A81" s="31"/>
      <c r="B81" s="31"/>
      <c r="C81" s="31"/>
      <c r="D81" s="31"/>
      <c r="E81" s="31"/>
      <c r="F81" s="31"/>
      <c r="G81" s="31"/>
      <c r="H81" s="31"/>
      <c r="I81" s="31"/>
      <c r="J81" s="31"/>
      <c r="K81" s="31"/>
      <c r="L81" s="31"/>
    </row>
    <row r="82" customFormat="false" ht="12.75" hidden="false" customHeight="false" outlineLevel="0" collapsed="false">
      <c r="A82" s="31"/>
      <c r="B82" s="31"/>
      <c r="C82" s="31"/>
      <c r="D82" s="31"/>
      <c r="E82" s="31"/>
      <c r="F82" s="31"/>
      <c r="G82" s="31"/>
      <c r="H82" s="31"/>
      <c r="I82" s="31"/>
      <c r="J82" s="31"/>
      <c r="K82" s="31"/>
      <c r="L82" s="31"/>
    </row>
    <row r="83" customFormat="false" ht="12.75" hidden="false" customHeight="false" outlineLevel="0" collapsed="false">
      <c r="A83" s="31"/>
      <c r="B83" s="31"/>
      <c r="C83" s="31"/>
      <c r="D83" s="31"/>
      <c r="E83" s="31"/>
      <c r="F83" s="31"/>
      <c r="G83" s="31"/>
      <c r="H83" s="31"/>
      <c r="I83" s="31"/>
      <c r="J83" s="31"/>
      <c r="K83" s="31"/>
      <c r="L83" s="31"/>
    </row>
    <row r="84" customFormat="false" ht="12.75" hidden="false" customHeight="false" outlineLevel="0" collapsed="false">
      <c r="A84" s="31"/>
      <c r="B84" s="31"/>
      <c r="C84" s="31"/>
      <c r="D84" s="31"/>
      <c r="E84" s="31"/>
      <c r="F84" s="31"/>
      <c r="G84" s="31"/>
      <c r="H84" s="31"/>
      <c r="I84" s="31"/>
      <c r="J84" s="31"/>
      <c r="K84" s="31"/>
      <c r="L84" s="31"/>
    </row>
    <row r="85" customFormat="false" ht="12.75" hidden="false" customHeight="false" outlineLevel="0" collapsed="false">
      <c r="A85" s="31"/>
      <c r="B85" s="31"/>
      <c r="C85" s="31"/>
      <c r="D85" s="31"/>
      <c r="E85" s="31"/>
      <c r="F85" s="31"/>
      <c r="G85" s="31"/>
      <c r="H85" s="31"/>
      <c r="I85" s="31"/>
      <c r="J85" s="31"/>
      <c r="K85" s="31"/>
      <c r="L85" s="31"/>
    </row>
    <row r="86" customFormat="false" ht="12.75" hidden="false" customHeight="false" outlineLevel="0" collapsed="false">
      <c r="A86" s="31"/>
      <c r="B86" s="31"/>
      <c r="C86" s="31"/>
      <c r="D86" s="31"/>
      <c r="E86" s="31"/>
      <c r="F86" s="31"/>
      <c r="G86" s="31"/>
      <c r="H86" s="31"/>
      <c r="I86" s="31"/>
      <c r="J86" s="31"/>
      <c r="K86" s="31"/>
      <c r="L86" s="31"/>
    </row>
    <row r="87" customFormat="false" ht="12.75" hidden="false" customHeight="false" outlineLevel="0" collapsed="false">
      <c r="A87" s="31"/>
      <c r="B87" s="31"/>
      <c r="C87" s="31"/>
      <c r="D87" s="31"/>
      <c r="E87" s="31"/>
      <c r="F87" s="31"/>
      <c r="G87" s="31"/>
      <c r="H87" s="31"/>
      <c r="I87" s="31"/>
      <c r="J87" s="31"/>
      <c r="K87" s="31"/>
      <c r="L87" s="31"/>
    </row>
    <row r="88" customFormat="false" ht="12.75" hidden="false" customHeight="false" outlineLevel="0" collapsed="false">
      <c r="A88" s="31"/>
      <c r="B88" s="31"/>
      <c r="C88" s="31"/>
      <c r="D88" s="31"/>
      <c r="E88" s="31"/>
      <c r="F88" s="31"/>
      <c r="G88" s="31"/>
      <c r="H88" s="31"/>
      <c r="I88" s="31"/>
      <c r="J88" s="31"/>
      <c r="K88" s="31"/>
      <c r="L88" s="31"/>
    </row>
    <row r="89" customFormat="false" ht="12.75" hidden="false" customHeight="false" outlineLevel="0" collapsed="false">
      <c r="A89" s="31"/>
      <c r="B89" s="31"/>
      <c r="C89" s="31"/>
      <c r="D89" s="31"/>
      <c r="E89" s="31"/>
      <c r="F89" s="31"/>
      <c r="G89" s="31"/>
      <c r="H89" s="31"/>
      <c r="I89" s="31"/>
      <c r="J89" s="31"/>
      <c r="K89" s="31"/>
      <c r="L89" s="31"/>
    </row>
    <row r="90" customFormat="false" ht="12.75" hidden="false" customHeight="false" outlineLevel="0" collapsed="false">
      <c r="A90" s="31"/>
      <c r="B90" s="31"/>
      <c r="C90" s="31"/>
      <c r="D90" s="31"/>
      <c r="E90" s="31"/>
      <c r="F90" s="31"/>
      <c r="G90" s="31"/>
      <c r="H90" s="31"/>
      <c r="I90" s="31"/>
      <c r="J90" s="31"/>
      <c r="K90" s="31"/>
      <c r="L90" s="31"/>
    </row>
    <row r="91" customFormat="false" ht="12.75" hidden="false" customHeight="false" outlineLevel="0" collapsed="false">
      <c r="A91" s="31"/>
      <c r="B91" s="31"/>
      <c r="C91" s="31"/>
      <c r="D91" s="31"/>
      <c r="E91" s="31"/>
      <c r="F91" s="31"/>
      <c r="G91" s="31"/>
      <c r="H91" s="31"/>
      <c r="I91" s="31"/>
      <c r="J91" s="31"/>
      <c r="K91" s="31"/>
      <c r="L91" s="31"/>
    </row>
    <row r="92" customFormat="false" ht="12.75" hidden="false" customHeight="false" outlineLevel="0" collapsed="false">
      <c r="A92" s="31"/>
      <c r="B92" s="31"/>
      <c r="C92" s="31"/>
      <c r="D92" s="31"/>
      <c r="E92" s="31"/>
      <c r="F92" s="31"/>
      <c r="G92" s="31"/>
      <c r="H92" s="31"/>
      <c r="I92" s="31"/>
      <c r="J92" s="31"/>
      <c r="K92" s="31"/>
      <c r="L92" s="31"/>
    </row>
    <row r="93" customFormat="false" ht="12.75" hidden="false" customHeight="false" outlineLevel="0" collapsed="false">
      <c r="A93" s="31"/>
      <c r="B93" s="31"/>
      <c r="C93" s="31"/>
      <c r="D93" s="31"/>
      <c r="E93" s="31"/>
      <c r="F93" s="31"/>
      <c r="G93" s="31"/>
      <c r="H93" s="31"/>
      <c r="I93" s="31"/>
      <c r="J93" s="31"/>
      <c r="K93" s="31"/>
      <c r="L93" s="31"/>
    </row>
    <row r="94" customFormat="false" ht="12.75" hidden="false" customHeight="false" outlineLevel="0" collapsed="false">
      <c r="A94" s="31"/>
      <c r="B94" s="31"/>
      <c r="C94" s="31"/>
      <c r="D94" s="31"/>
      <c r="E94" s="31"/>
      <c r="F94" s="31"/>
      <c r="G94" s="31"/>
      <c r="H94" s="31"/>
      <c r="I94" s="31"/>
      <c r="J94" s="31"/>
      <c r="K94" s="31"/>
      <c r="L94" s="31"/>
    </row>
    <row r="95" customFormat="false" ht="12.75" hidden="false" customHeight="false" outlineLevel="0" collapsed="false">
      <c r="A95" s="31"/>
      <c r="B95" s="31"/>
      <c r="C95" s="31"/>
      <c r="D95" s="31"/>
      <c r="E95" s="31"/>
      <c r="F95" s="31"/>
      <c r="G95" s="31"/>
      <c r="H95" s="31"/>
      <c r="I95" s="31"/>
      <c r="J95" s="31"/>
      <c r="K95" s="31"/>
      <c r="L95" s="31"/>
    </row>
    <row r="96" customFormat="false" ht="12.75" hidden="false" customHeight="false" outlineLevel="0" collapsed="false">
      <c r="A96" s="31"/>
      <c r="B96" s="31"/>
      <c r="C96" s="31"/>
      <c r="D96" s="31"/>
      <c r="E96" s="31"/>
      <c r="F96" s="31"/>
      <c r="G96" s="31"/>
      <c r="H96" s="31"/>
      <c r="I96" s="31"/>
      <c r="J96" s="31"/>
      <c r="K96" s="31"/>
      <c r="L96" s="31"/>
    </row>
    <row r="97" customFormat="false" ht="12.75" hidden="false" customHeight="false" outlineLevel="0" collapsed="false">
      <c r="A97" s="31"/>
      <c r="B97" s="31"/>
      <c r="C97" s="31"/>
      <c r="D97" s="31"/>
      <c r="E97" s="31"/>
      <c r="F97" s="31"/>
      <c r="G97" s="31"/>
      <c r="H97" s="31"/>
      <c r="I97" s="31"/>
      <c r="J97" s="31"/>
      <c r="K97" s="31"/>
      <c r="L97" s="31"/>
    </row>
    <row r="98" customFormat="false" ht="12.75" hidden="false" customHeight="false" outlineLevel="0" collapsed="false">
      <c r="A98" s="31"/>
      <c r="B98" s="31"/>
      <c r="C98" s="31"/>
      <c r="D98" s="31"/>
      <c r="E98" s="31"/>
      <c r="F98" s="31"/>
      <c r="G98" s="31"/>
      <c r="H98" s="31"/>
      <c r="I98" s="31"/>
      <c r="J98" s="31"/>
      <c r="K98" s="31"/>
      <c r="L98" s="31"/>
    </row>
    <row r="99" customFormat="false" ht="12.75" hidden="false" customHeight="false" outlineLevel="0" collapsed="false">
      <c r="A99" s="31"/>
      <c r="B99" s="31"/>
      <c r="C99" s="31"/>
      <c r="D99" s="31"/>
      <c r="E99" s="31"/>
      <c r="F99" s="31"/>
      <c r="G99" s="31"/>
      <c r="H99" s="31"/>
      <c r="I99" s="31"/>
      <c r="J99" s="31"/>
      <c r="K99" s="31"/>
      <c r="L99" s="31"/>
    </row>
    <row r="100" customFormat="false" ht="12.75" hidden="false" customHeight="false" outlineLevel="0" collapsed="false">
      <c r="A100" s="31"/>
      <c r="B100" s="31"/>
      <c r="C100" s="31"/>
      <c r="D100" s="31"/>
      <c r="E100" s="31"/>
      <c r="F100" s="31"/>
      <c r="G100" s="31"/>
      <c r="H100" s="31"/>
      <c r="I100" s="31"/>
      <c r="J100" s="31"/>
      <c r="K100" s="31"/>
      <c r="L100" s="31"/>
    </row>
    <row r="101" customFormat="false" ht="12.75" hidden="false" customHeight="false" outlineLevel="0" collapsed="false">
      <c r="A101" s="31"/>
      <c r="B101" s="31"/>
      <c r="C101" s="31"/>
      <c r="D101" s="31"/>
      <c r="E101" s="31"/>
      <c r="F101" s="31"/>
      <c r="G101" s="31"/>
      <c r="H101" s="31"/>
      <c r="I101" s="31"/>
      <c r="J101" s="31"/>
      <c r="K101" s="31"/>
      <c r="L101" s="31"/>
    </row>
    <row r="102" customFormat="false" ht="12.75" hidden="false" customHeight="false" outlineLevel="0" collapsed="false">
      <c r="A102" s="31"/>
      <c r="B102" s="31"/>
      <c r="C102" s="31"/>
      <c r="D102" s="31"/>
      <c r="E102" s="31"/>
      <c r="F102" s="31"/>
      <c r="G102" s="31"/>
      <c r="H102" s="31"/>
      <c r="I102" s="31"/>
      <c r="J102" s="31"/>
      <c r="K102" s="31"/>
      <c r="L102" s="31"/>
    </row>
    <row r="103" customFormat="false" ht="12.75" hidden="false" customHeight="false" outlineLevel="0" collapsed="false">
      <c r="A103" s="31"/>
      <c r="B103" s="31"/>
      <c r="C103" s="31"/>
      <c r="D103" s="31"/>
      <c r="E103" s="31"/>
      <c r="F103" s="31"/>
      <c r="G103" s="31"/>
      <c r="H103" s="31"/>
      <c r="I103" s="31"/>
      <c r="J103" s="31"/>
      <c r="K103" s="31"/>
      <c r="L103" s="31"/>
    </row>
    <row r="104" customFormat="false" ht="12.75" hidden="false" customHeight="false" outlineLevel="0" collapsed="false">
      <c r="A104" s="31"/>
      <c r="B104" s="31"/>
      <c r="C104" s="31"/>
      <c r="D104" s="31"/>
      <c r="E104" s="31"/>
      <c r="F104" s="31"/>
      <c r="G104" s="31"/>
      <c r="H104" s="31"/>
      <c r="I104" s="31"/>
      <c r="J104" s="31"/>
      <c r="K104" s="31"/>
      <c r="L104" s="31"/>
    </row>
    <row r="105" customFormat="false" ht="12.75" hidden="false" customHeight="false" outlineLevel="0" collapsed="false">
      <c r="A105" s="31"/>
      <c r="B105" s="31"/>
      <c r="C105" s="31"/>
      <c r="D105" s="31"/>
      <c r="E105" s="31"/>
      <c r="F105" s="31"/>
      <c r="G105" s="31"/>
      <c r="H105" s="31"/>
      <c r="I105" s="31"/>
      <c r="J105" s="31"/>
      <c r="K105" s="31"/>
      <c r="L105" s="31"/>
    </row>
    <row r="106" customFormat="false" ht="12.75" hidden="false" customHeight="false" outlineLevel="0" collapsed="false">
      <c r="A106" s="31"/>
      <c r="B106" s="31"/>
      <c r="C106" s="31"/>
      <c r="D106" s="31"/>
      <c r="E106" s="31"/>
      <c r="F106" s="31"/>
      <c r="G106" s="31"/>
      <c r="H106" s="31"/>
      <c r="I106" s="31"/>
      <c r="J106" s="31"/>
      <c r="K106" s="31"/>
      <c r="L106" s="31"/>
    </row>
    <row r="107" customFormat="false" ht="12.75" hidden="false" customHeight="false" outlineLevel="0" collapsed="false">
      <c r="A107" s="31"/>
      <c r="B107" s="31"/>
      <c r="C107" s="31"/>
      <c r="D107" s="31"/>
      <c r="E107" s="31"/>
      <c r="F107" s="31"/>
      <c r="G107" s="31"/>
      <c r="H107" s="31"/>
      <c r="I107" s="31"/>
      <c r="J107" s="31"/>
      <c r="K107" s="31"/>
      <c r="L107" s="31"/>
    </row>
    <row r="108" customFormat="false" ht="12.75" hidden="false" customHeight="false" outlineLevel="0" collapsed="false">
      <c r="A108" s="31"/>
      <c r="B108" s="31"/>
      <c r="C108" s="31"/>
      <c r="D108" s="31"/>
      <c r="E108" s="31"/>
      <c r="F108" s="31"/>
      <c r="G108" s="31"/>
      <c r="H108" s="31"/>
      <c r="I108" s="31"/>
      <c r="J108" s="31"/>
      <c r="K108" s="31"/>
      <c r="L108" s="31"/>
    </row>
    <row r="109" customFormat="false" ht="12.75" hidden="false" customHeight="false" outlineLevel="0" collapsed="false">
      <c r="A109" s="31"/>
      <c r="B109" s="31"/>
      <c r="C109" s="31"/>
      <c r="D109" s="31"/>
      <c r="E109" s="31"/>
      <c r="F109" s="31"/>
      <c r="G109" s="31"/>
      <c r="H109" s="31"/>
      <c r="I109" s="31"/>
      <c r="J109" s="31"/>
      <c r="K109" s="31"/>
      <c r="L109" s="31"/>
    </row>
    <row r="110" customFormat="false" ht="12.75" hidden="false" customHeight="false" outlineLevel="0" collapsed="false">
      <c r="A110" s="31"/>
      <c r="B110" s="31"/>
      <c r="C110" s="31"/>
      <c r="D110" s="31"/>
      <c r="E110" s="31"/>
      <c r="F110" s="31"/>
      <c r="G110" s="31"/>
      <c r="H110" s="31"/>
      <c r="I110" s="31"/>
      <c r="J110" s="31"/>
      <c r="K110" s="31"/>
      <c r="L110" s="31"/>
    </row>
    <row r="111" customFormat="false" ht="12.75" hidden="false" customHeight="false" outlineLevel="0" collapsed="false">
      <c r="A111" s="31"/>
      <c r="B111" s="31"/>
      <c r="C111" s="31"/>
      <c r="D111" s="31"/>
      <c r="E111" s="31"/>
      <c r="F111" s="31"/>
      <c r="G111" s="31"/>
      <c r="H111" s="31"/>
      <c r="I111" s="31"/>
      <c r="J111" s="31"/>
      <c r="K111" s="31"/>
      <c r="L111" s="31"/>
    </row>
    <row r="112" customFormat="false" ht="12.75" hidden="false" customHeight="false" outlineLevel="0" collapsed="false">
      <c r="A112" s="31"/>
      <c r="B112" s="31"/>
      <c r="C112" s="31"/>
      <c r="D112" s="31"/>
      <c r="E112" s="31"/>
      <c r="F112" s="31"/>
      <c r="G112" s="31"/>
      <c r="H112" s="31"/>
      <c r="I112" s="31"/>
      <c r="J112" s="31"/>
      <c r="K112" s="31"/>
      <c r="L112" s="31"/>
    </row>
    <row r="113" customFormat="false" ht="12.75" hidden="false" customHeight="false" outlineLevel="0" collapsed="false">
      <c r="A113" s="31"/>
      <c r="B113" s="31"/>
      <c r="C113" s="31"/>
      <c r="D113" s="31"/>
      <c r="E113" s="31"/>
      <c r="F113" s="31"/>
      <c r="G113" s="31"/>
      <c r="H113" s="31"/>
      <c r="I113" s="31"/>
      <c r="J113" s="31"/>
      <c r="K113" s="31"/>
      <c r="L113" s="31"/>
    </row>
    <row r="114" customFormat="false" ht="12.75" hidden="false" customHeight="false" outlineLevel="0" collapsed="false">
      <c r="A114" s="31"/>
      <c r="B114" s="31"/>
      <c r="C114" s="31"/>
      <c r="D114" s="31"/>
      <c r="E114" s="31"/>
      <c r="F114" s="31"/>
      <c r="G114" s="31"/>
      <c r="H114" s="31"/>
      <c r="I114" s="31"/>
      <c r="J114" s="31"/>
      <c r="K114" s="31"/>
      <c r="L114" s="31"/>
    </row>
    <row r="115" customFormat="false" ht="12.75" hidden="false" customHeight="false" outlineLevel="0" collapsed="false">
      <c r="A115" s="31"/>
      <c r="B115" s="31"/>
      <c r="C115" s="31"/>
      <c r="D115" s="31"/>
      <c r="E115" s="31"/>
      <c r="F115" s="31"/>
      <c r="G115" s="31"/>
      <c r="H115" s="31"/>
      <c r="I115" s="31"/>
      <c r="J115" s="31"/>
      <c r="K115" s="31"/>
      <c r="L115" s="31"/>
    </row>
    <row r="116" customFormat="false" ht="12.75" hidden="false" customHeight="false" outlineLevel="0" collapsed="false">
      <c r="A116" s="31"/>
      <c r="B116" s="31"/>
      <c r="C116" s="31"/>
      <c r="D116" s="31"/>
      <c r="E116" s="31"/>
      <c r="F116" s="31"/>
      <c r="G116" s="31"/>
      <c r="H116" s="31"/>
      <c r="I116" s="31"/>
      <c r="J116" s="31"/>
      <c r="K116" s="31"/>
      <c r="L116" s="31"/>
    </row>
    <row r="117" customFormat="false" ht="12.75" hidden="false" customHeight="false" outlineLevel="0" collapsed="false">
      <c r="A117" s="31"/>
      <c r="B117" s="31"/>
      <c r="C117" s="31"/>
      <c r="D117" s="31"/>
      <c r="E117" s="31"/>
      <c r="F117" s="31"/>
      <c r="G117" s="31"/>
      <c r="H117" s="31"/>
      <c r="I117" s="31"/>
      <c r="J117" s="31"/>
      <c r="K117" s="31"/>
      <c r="L117" s="31"/>
    </row>
    <row r="118" customFormat="false" ht="12.75" hidden="false" customHeight="false" outlineLevel="0" collapsed="false">
      <c r="A118" s="31"/>
      <c r="B118" s="31"/>
      <c r="C118" s="31"/>
      <c r="D118" s="31"/>
      <c r="E118" s="31"/>
      <c r="F118" s="31"/>
      <c r="G118" s="31"/>
      <c r="H118" s="31"/>
      <c r="I118" s="31"/>
      <c r="J118" s="31"/>
      <c r="K118" s="31"/>
      <c r="L118" s="31"/>
    </row>
    <row r="119" customFormat="false" ht="12.75" hidden="false" customHeight="false" outlineLevel="0" collapsed="false">
      <c r="A119" s="31"/>
      <c r="B119" s="31"/>
      <c r="C119" s="31"/>
      <c r="D119" s="31"/>
      <c r="E119" s="31"/>
      <c r="F119" s="31"/>
      <c r="G119" s="31"/>
      <c r="H119" s="31"/>
      <c r="I119" s="31"/>
      <c r="J119" s="31"/>
      <c r="K119" s="31"/>
      <c r="L119" s="31"/>
    </row>
    <row r="120" customFormat="false" ht="12.75" hidden="false" customHeight="false" outlineLevel="0" collapsed="false">
      <c r="A120" s="31"/>
      <c r="B120" s="31"/>
      <c r="C120" s="31"/>
      <c r="D120" s="31"/>
      <c r="E120" s="31"/>
      <c r="F120" s="31"/>
      <c r="G120" s="31"/>
      <c r="H120" s="31"/>
      <c r="I120" s="31"/>
      <c r="J120" s="31"/>
      <c r="K120" s="31"/>
      <c r="L120" s="31"/>
    </row>
    <row r="121" customFormat="false" ht="12.75" hidden="false" customHeight="false" outlineLevel="0" collapsed="false">
      <c r="A121" s="31"/>
      <c r="B121" s="31"/>
      <c r="C121" s="31"/>
      <c r="D121" s="31"/>
      <c r="E121" s="31"/>
      <c r="F121" s="31"/>
      <c r="G121" s="31"/>
      <c r="H121" s="31"/>
      <c r="I121" s="31"/>
      <c r="J121" s="31"/>
      <c r="K121" s="31"/>
      <c r="L121" s="31"/>
    </row>
    <row r="122" customFormat="false" ht="12.75" hidden="false" customHeight="false" outlineLevel="0" collapsed="false">
      <c r="A122" s="31"/>
      <c r="B122" s="31"/>
      <c r="C122" s="31"/>
      <c r="D122" s="31"/>
      <c r="E122" s="31"/>
      <c r="F122" s="31"/>
      <c r="G122" s="31"/>
      <c r="H122" s="31"/>
      <c r="I122" s="31"/>
      <c r="J122" s="31"/>
      <c r="K122" s="31"/>
      <c r="L122" s="31"/>
    </row>
    <row r="123" customFormat="false" ht="12.75" hidden="false" customHeight="false" outlineLevel="0" collapsed="false">
      <c r="A123" s="31"/>
      <c r="B123" s="31"/>
      <c r="C123" s="31"/>
      <c r="D123" s="31"/>
      <c r="E123" s="31"/>
      <c r="F123" s="31"/>
      <c r="G123" s="31"/>
      <c r="H123" s="31"/>
      <c r="I123" s="31"/>
      <c r="J123" s="31"/>
      <c r="K123" s="31"/>
      <c r="L123" s="31"/>
    </row>
    <row r="124" customFormat="false" ht="12.75" hidden="false" customHeight="false" outlineLevel="0" collapsed="false">
      <c r="A124" s="31"/>
      <c r="B124" s="31"/>
      <c r="C124" s="31"/>
      <c r="D124" s="31"/>
      <c r="E124" s="31"/>
      <c r="F124" s="31"/>
      <c r="G124" s="31"/>
      <c r="H124" s="31"/>
      <c r="I124" s="31"/>
      <c r="J124" s="31"/>
      <c r="K124" s="31"/>
      <c r="L124" s="31"/>
    </row>
    <row r="125" customFormat="false" ht="12.75" hidden="false" customHeight="false" outlineLevel="0" collapsed="false">
      <c r="A125" s="31"/>
      <c r="B125" s="31"/>
      <c r="C125" s="31"/>
      <c r="D125" s="31"/>
      <c r="E125" s="31"/>
      <c r="F125" s="31"/>
      <c r="G125" s="31"/>
      <c r="H125" s="31"/>
      <c r="I125" s="31"/>
      <c r="J125" s="31"/>
      <c r="K125" s="31"/>
      <c r="L125" s="31"/>
    </row>
    <row r="126" customFormat="false" ht="12.75" hidden="false" customHeight="false" outlineLevel="0" collapsed="false">
      <c r="A126" s="31"/>
      <c r="B126" s="31"/>
      <c r="C126" s="31"/>
      <c r="D126" s="31"/>
      <c r="E126" s="31"/>
      <c r="F126" s="31"/>
      <c r="G126" s="31"/>
      <c r="H126" s="31"/>
      <c r="I126" s="31"/>
      <c r="J126" s="31"/>
      <c r="K126" s="31"/>
      <c r="L126" s="31"/>
    </row>
    <row r="127" customFormat="false" ht="12.75" hidden="false" customHeight="false" outlineLevel="0" collapsed="false">
      <c r="A127" s="31"/>
      <c r="B127" s="31"/>
      <c r="C127" s="31"/>
      <c r="D127" s="31"/>
      <c r="E127" s="31"/>
      <c r="F127" s="31"/>
      <c r="G127" s="31"/>
      <c r="H127" s="31"/>
      <c r="I127" s="31"/>
      <c r="J127" s="31"/>
      <c r="K127" s="31"/>
      <c r="L127" s="31"/>
    </row>
    <row r="128" customFormat="false" ht="12.75" hidden="false" customHeight="false" outlineLevel="0" collapsed="false">
      <c r="A128" s="31"/>
      <c r="B128" s="31"/>
      <c r="C128" s="31"/>
      <c r="D128" s="31"/>
      <c r="E128" s="31"/>
      <c r="F128" s="31"/>
      <c r="G128" s="31"/>
      <c r="H128" s="31"/>
      <c r="I128" s="31"/>
      <c r="J128" s="31"/>
      <c r="K128" s="31"/>
      <c r="L128" s="31"/>
    </row>
    <row r="129" customFormat="false" ht="12.75" hidden="false" customHeight="false" outlineLevel="0" collapsed="false">
      <c r="A129" s="31"/>
      <c r="B129" s="31"/>
      <c r="C129" s="31"/>
      <c r="D129" s="31"/>
      <c r="E129" s="31"/>
      <c r="F129" s="31"/>
      <c r="G129" s="31"/>
      <c r="H129" s="31"/>
      <c r="I129" s="31"/>
      <c r="J129" s="31"/>
      <c r="K129" s="31"/>
      <c r="L129" s="31"/>
    </row>
    <row r="130" customFormat="false" ht="12.75" hidden="false" customHeight="false" outlineLevel="0" collapsed="false">
      <c r="A130" s="31"/>
      <c r="B130" s="31"/>
      <c r="C130" s="31"/>
      <c r="D130" s="31"/>
      <c r="E130" s="31"/>
      <c r="F130" s="31"/>
      <c r="G130" s="31"/>
      <c r="H130" s="31"/>
      <c r="I130" s="31"/>
      <c r="J130" s="31"/>
      <c r="K130" s="31"/>
      <c r="L130" s="31"/>
    </row>
    <row r="131" customFormat="false" ht="12.75" hidden="false" customHeight="false" outlineLevel="0" collapsed="false">
      <c r="A131" s="31"/>
      <c r="B131" s="31"/>
      <c r="C131" s="31"/>
      <c r="D131" s="31"/>
      <c r="E131" s="31"/>
      <c r="F131" s="31"/>
      <c r="G131" s="31"/>
      <c r="H131" s="31"/>
      <c r="I131" s="31"/>
      <c r="J131" s="31"/>
      <c r="K131" s="31"/>
      <c r="L131" s="31"/>
    </row>
    <row r="132" customFormat="false" ht="12.75" hidden="false" customHeight="false" outlineLevel="0" collapsed="false">
      <c r="A132" s="31"/>
      <c r="B132" s="31"/>
      <c r="C132" s="31"/>
      <c r="D132" s="31"/>
      <c r="E132" s="31"/>
      <c r="F132" s="31"/>
      <c r="G132" s="31"/>
      <c r="H132" s="31"/>
      <c r="I132" s="31"/>
      <c r="J132" s="31"/>
      <c r="K132" s="31"/>
      <c r="L132" s="31"/>
    </row>
    <row r="133" customFormat="false" ht="12.75" hidden="false" customHeight="false" outlineLevel="0" collapsed="false">
      <c r="A133" s="31"/>
      <c r="B133" s="31"/>
      <c r="C133" s="31"/>
      <c r="D133" s="31"/>
      <c r="E133" s="31"/>
      <c r="F133" s="31"/>
      <c r="G133" s="31"/>
      <c r="H133" s="31"/>
      <c r="I133" s="31"/>
      <c r="J133" s="31"/>
      <c r="K133" s="31"/>
      <c r="L133" s="31"/>
    </row>
    <row r="134" customFormat="false" ht="12.75" hidden="false" customHeight="false" outlineLevel="0" collapsed="false">
      <c r="A134" s="31"/>
      <c r="B134" s="31"/>
      <c r="C134" s="31"/>
      <c r="D134" s="31"/>
      <c r="E134" s="31"/>
      <c r="F134" s="31"/>
      <c r="G134" s="31"/>
      <c r="H134" s="31"/>
      <c r="I134" s="31"/>
      <c r="J134" s="31"/>
      <c r="K134" s="31"/>
      <c r="L134" s="31"/>
    </row>
    <row r="135" customFormat="false" ht="12.75" hidden="false" customHeight="false" outlineLevel="0" collapsed="false">
      <c r="A135" s="31"/>
      <c r="B135" s="31"/>
      <c r="C135" s="31"/>
      <c r="D135" s="31"/>
      <c r="E135" s="31"/>
      <c r="F135" s="31"/>
      <c r="G135" s="31"/>
      <c r="H135" s="31"/>
      <c r="I135" s="31"/>
      <c r="J135" s="31"/>
      <c r="K135" s="31"/>
      <c r="L135" s="31"/>
    </row>
    <row r="136" customFormat="false" ht="12.75" hidden="false" customHeight="false" outlineLevel="0" collapsed="false">
      <c r="A136" s="31"/>
      <c r="B136" s="31"/>
      <c r="C136" s="31"/>
      <c r="D136" s="31"/>
      <c r="E136" s="31"/>
      <c r="F136" s="31"/>
      <c r="G136" s="31"/>
      <c r="H136" s="31"/>
      <c r="I136" s="31"/>
      <c r="J136" s="31"/>
      <c r="K136" s="31"/>
      <c r="L136" s="31"/>
    </row>
    <row r="137" customFormat="false" ht="12.75" hidden="false" customHeight="false" outlineLevel="0" collapsed="false">
      <c r="A137" s="31"/>
      <c r="B137" s="31"/>
      <c r="C137" s="31"/>
      <c r="D137" s="31"/>
      <c r="E137" s="31"/>
      <c r="F137" s="31"/>
      <c r="G137" s="31"/>
      <c r="H137" s="31"/>
      <c r="I137" s="31"/>
      <c r="J137" s="31"/>
      <c r="K137" s="31"/>
      <c r="L137" s="31"/>
    </row>
    <row r="138" customFormat="false" ht="12.75" hidden="false" customHeight="false" outlineLevel="0" collapsed="false">
      <c r="A138" s="31"/>
      <c r="B138" s="31"/>
      <c r="C138" s="31"/>
      <c r="D138" s="31"/>
      <c r="E138" s="31"/>
      <c r="F138" s="31"/>
      <c r="G138" s="31"/>
      <c r="H138" s="31"/>
      <c r="I138" s="31"/>
      <c r="J138" s="31"/>
      <c r="K138" s="31"/>
      <c r="L138" s="31"/>
    </row>
    <row r="139" customFormat="false" ht="12.75" hidden="false" customHeight="false" outlineLevel="0" collapsed="false">
      <c r="A139" s="31"/>
      <c r="B139" s="31"/>
      <c r="C139" s="31"/>
      <c r="D139" s="31"/>
      <c r="E139" s="31"/>
      <c r="F139" s="31"/>
      <c r="G139" s="31"/>
      <c r="H139" s="31"/>
      <c r="I139" s="31"/>
      <c r="J139" s="31"/>
      <c r="K139" s="31"/>
      <c r="L139" s="31"/>
    </row>
    <row r="140" customFormat="false" ht="12.75" hidden="false" customHeight="false" outlineLevel="0" collapsed="false">
      <c r="A140" s="31"/>
      <c r="B140" s="31"/>
      <c r="C140" s="31"/>
      <c r="D140" s="31"/>
      <c r="E140" s="31"/>
      <c r="F140" s="31"/>
      <c r="G140" s="31"/>
      <c r="H140" s="31"/>
      <c r="I140" s="31"/>
      <c r="J140" s="31"/>
      <c r="K140" s="31"/>
      <c r="L140" s="31"/>
    </row>
    <row r="141" customFormat="false" ht="12.75" hidden="false" customHeight="false" outlineLevel="0" collapsed="false">
      <c r="A141" s="31"/>
      <c r="B141" s="31"/>
      <c r="C141" s="31"/>
      <c r="D141" s="31"/>
      <c r="E141" s="31"/>
      <c r="F141" s="31"/>
      <c r="G141" s="31"/>
      <c r="H141" s="31"/>
      <c r="I141" s="31"/>
      <c r="J141" s="31"/>
      <c r="K141" s="31"/>
      <c r="L141" s="31"/>
    </row>
    <row r="142" customFormat="false" ht="12.75" hidden="false" customHeight="false" outlineLevel="0" collapsed="false">
      <c r="A142" s="31"/>
      <c r="B142" s="31"/>
      <c r="C142" s="31"/>
      <c r="D142" s="31"/>
      <c r="E142" s="31"/>
      <c r="F142" s="31"/>
      <c r="G142" s="31"/>
      <c r="H142" s="31"/>
      <c r="I142" s="31"/>
      <c r="J142" s="31"/>
      <c r="K142" s="31"/>
      <c r="L142" s="31"/>
    </row>
    <row r="143" customFormat="false" ht="12.75" hidden="false" customHeight="false" outlineLevel="0" collapsed="false">
      <c r="A143" s="31"/>
      <c r="B143" s="31"/>
      <c r="C143" s="31"/>
      <c r="D143" s="31"/>
      <c r="E143" s="31"/>
      <c r="F143" s="31"/>
      <c r="G143" s="31"/>
      <c r="H143" s="31"/>
      <c r="I143" s="31"/>
      <c r="J143" s="31"/>
      <c r="K143" s="31"/>
      <c r="L143" s="31"/>
    </row>
    <row r="144" customFormat="false" ht="12.75" hidden="false" customHeight="false" outlineLevel="0" collapsed="false">
      <c r="A144" s="31"/>
      <c r="B144" s="31"/>
      <c r="C144" s="31"/>
      <c r="D144" s="31"/>
      <c r="E144" s="31"/>
      <c r="F144" s="31"/>
      <c r="G144" s="31"/>
      <c r="H144" s="31"/>
      <c r="I144" s="31"/>
      <c r="J144" s="31"/>
      <c r="K144" s="31"/>
      <c r="L144" s="31"/>
    </row>
    <row r="145" customFormat="false" ht="12.75" hidden="false" customHeight="false" outlineLevel="0" collapsed="false">
      <c r="A145" s="31"/>
      <c r="B145" s="31"/>
      <c r="C145" s="31"/>
      <c r="D145" s="31"/>
      <c r="E145" s="31"/>
      <c r="F145" s="31"/>
      <c r="G145" s="31"/>
      <c r="H145" s="31"/>
      <c r="I145" s="31"/>
      <c r="J145" s="31"/>
      <c r="K145" s="31"/>
      <c r="L145" s="31"/>
    </row>
    <row r="146" customFormat="false" ht="12.75" hidden="false" customHeight="false" outlineLevel="0" collapsed="false">
      <c r="A146" s="31"/>
      <c r="B146" s="31"/>
      <c r="C146" s="31"/>
      <c r="D146" s="31"/>
      <c r="E146" s="31"/>
      <c r="F146" s="31"/>
      <c r="G146" s="31"/>
      <c r="H146" s="31"/>
      <c r="I146" s="31"/>
      <c r="J146" s="31"/>
      <c r="K146" s="31"/>
      <c r="L146" s="31"/>
    </row>
    <row r="147" customFormat="false" ht="12.75" hidden="false" customHeight="false" outlineLevel="0" collapsed="false">
      <c r="A147" s="31"/>
      <c r="B147" s="31"/>
      <c r="C147" s="31"/>
      <c r="D147" s="31"/>
      <c r="E147" s="31"/>
      <c r="F147" s="31"/>
      <c r="G147" s="31"/>
      <c r="H147" s="31"/>
      <c r="I147" s="31"/>
      <c r="J147" s="31"/>
      <c r="K147" s="31"/>
      <c r="L147" s="31"/>
    </row>
    <row r="148" customFormat="false" ht="12.75" hidden="false" customHeight="false" outlineLevel="0" collapsed="false">
      <c r="A148" s="31"/>
      <c r="B148" s="31"/>
      <c r="C148" s="31"/>
      <c r="D148" s="31"/>
      <c r="E148" s="31"/>
      <c r="F148" s="31"/>
      <c r="G148" s="31"/>
      <c r="H148" s="31"/>
      <c r="I148" s="31"/>
      <c r="J148" s="31"/>
      <c r="K148" s="31"/>
      <c r="L148" s="31"/>
    </row>
    <row r="149" customFormat="false" ht="12.75" hidden="false" customHeight="false" outlineLevel="0" collapsed="false">
      <c r="A149" s="31"/>
      <c r="B149" s="31"/>
      <c r="C149" s="31"/>
      <c r="D149" s="31"/>
      <c r="E149" s="31"/>
      <c r="F149" s="31"/>
      <c r="G149" s="31"/>
      <c r="H149" s="31"/>
      <c r="I149" s="31"/>
      <c r="J149" s="31"/>
      <c r="K149" s="31"/>
      <c r="L149" s="31"/>
    </row>
    <row r="150" customFormat="false" ht="12.75" hidden="false" customHeight="false" outlineLevel="0" collapsed="false">
      <c r="A150" s="31"/>
      <c r="B150" s="31"/>
      <c r="C150" s="31"/>
      <c r="D150" s="31"/>
      <c r="E150" s="31"/>
      <c r="F150" s="31"/>
      <c r="G150" s="31"/>
      <c r="H150" s="31"/>
      <c r="I150" s="31"/>
      <c r="J150" s="31"/>
      <c r="K150" s="31"/>
      <c r="L150" s="31"/>
    </row>
    <row r="151" customFormat="false" ht="12.75" hidden="false" customHeight="false" outlineLevel="0" collapsed="false">
      <c r="A151" s="31"/>
      <c r="B151" s="31"/>
      <c r="C151" s="31"/>
      <c r="D151" s="31"/>
      <c r="E151" s="31"/>
      <c r="F151" s="31"/>
      <c r="G151" s="31"/>
      <c r="H151" s="31"/>
      <c r="I151" s="31"/>
      <c r="J151" s="31"/>
      <c r="K151" s="31"/>
      <c r="L151" s="31"/>
    </row>
    <row r="152" customFormat="false" ht="12.75" hidden="false" customHeight="false" outlineLevel="0" collapsed="false">
      <c r="A152" s="31"/>
      <c r="B152" s="31"/>
      <c r="C152" s="31"/>
      <c r="D152" s="31"/>
      <c r="E152" s="31"/>
      <c r="F152" s="31"/>
      <c r="G152" s="31"/>
      <c r="H152" s="31"/>
      <c r="I152" s="31"/>
      <c r="J152" s="31"/>
      <c r="K152" s="31"/>
      <c r="L152" s="31"/>
    </row>
    <row r="153" customFormat="false" ht="12.75" hidden="false" customHeight="false" outlineLevel="0" collapsed="false">
      <c r="A153" s="31"/>
      <c r="B153" s="31"/>
      <c r="C153" s="31"/>
      <c r="D153" s="31"/>
      <c r="E153" s="31"/>
      <c r="F153" s="31"/>
      <c r="G153" s="31"/>
      <c r="H153" s="31"/>
      <c r="I153" s="31"/>
      <c r="J153" s="31"/>
      <c r="K153" s="31"/>
      <c r="L153" s="31"/>
    </row>
    <row r="154" customFormat="false" ht="12.75" hidden="false" customHeight="false" outlineLevel="0" collapsed="false">
      <c r="A154" s="31"/>
      <c r="B154" s="31"/>
      <c r="C154" s="31"/>
      <c r="D154" s="31"/>
      <c r="E154" s="31"/>
      <c r="F154" s="31"/>
      <c r="G154" s="31"/>
      <c r="H154" s="31"/>
      <c r="I154" s="31"/>
      <c r="J154" s="31"/>
      <c r="K154" s="31"/>
      <c r="L154" s="31"/>
    </row>
    <row r="155" customFormat="false" ht="12.75" hidden="false" customHeight="false" outlineLevel="0" collapsed="false">
      <c r="A155" s="31"/>
      <c r="B155" s="31"/>
      <c r="C155" s="31"/>
      <c r="D155" s="31"/>
      <c r="E155" s="31"/>
      <c r="F155" s="31"/>
      <c r="G155" s="31"/>
      <c r="H155" s="31"/>
      <c r="I155" s="31"/>
      <c r="J155" s="31"/>
      <c r="K155" s="31"/>
      <c r="L155" s="31"/>
    </row>
    <row r="156" customFormat="false" ht="12.75" hidden="false" customHeight="false" outlineLevel="0" collapsed="false">
      <c r="A156" s="31"/>
      <c r="B156" s="31"/>
      <c r="C156" s="31"/>
      <c r="D156" s="31"/>
      <c r="E156" s="31"/>
      <c r="F156" s="31"/>
      <c r="G156" s="31"/>
      <c r="H156" s="31"/>
      <c r="I156" s="31"/>
      <c r="J156" s="31"/>
      <c r="K156" s="31"/>
      <c r="L156" s="31"/>
    </row>
    <row r="157" customFormat="false" ht="12.75" hidden="false" customHeight="false" outlineLevel="0" collapsed="false">
      <c r="A157" s="31"/>
      <c r="B157" s="31"/>
      <c r="C157" s="31"/>
      <c r="D157" s="31"/>
      <c r="E157" s="31"/>
      <c r="F157" s="31"/>
      <c r="G157" s="31"/>
      <c r="H157" s="31"/>
      <c r="I157" s="31"/>
      <c r="J157" s="31"/>
      <c r="K157" s="31"/>
      <c r="L157" s="31"/>
    </row>
    <row r="158" customFormat="false" ht="12.75" hidden="false" customHeight="false" outlineLevel="0" collapsed="false">
      <c r="A158" s="31"/>
      <c r="B158" s="31"/>
      <c r="C158" s="31"/>
      <c r="D158" s="31"/>
      <c r="E158" s="31"/>
      <c r="F158" s="31"/>
      <c r="G158" s="31"/>
      <c r="H158" s="31"/>
      <c r="I158" s="31"/>
      <c r="J158" s="31"/>
      <c r="K158" s="31"/>
      <c r="L158" s="31"/>
    </row>
    <row r="159" customFormat="false" ht="12.75" hidden="false" customHeight="false" outlineLevel="0" collapsed="false">
      <c r="A159" s="31"/>
      <c r="B159" s="31"/>
      <c r="C159" s="31"/>
      <c r="D159" s="31"/>
      <c r="E159" s="31"/>
      <c r="F159" s="31"/>
      <c r="G159" s="31"/>
      <c r="H159" s="31"/>
      <c r="I159" s="31"/>
      <c r="J159" s="31"/>
      <c r="K159" s="31"/>
      <c r="L159" s="31"/>
    </row>
    <row r="160" customFormat="false" ht="12.75" hidden="false" customHeight="false" outlineLevel="0" collapsed="false">
      <c r="A160" s="31"/>
      <c r="B160" s="31"/>
      <c r="C160" s="31"/>
      <c r="D160" s="31"/>
      <c r="E160" s="31"/>
      <c r="F160" s="31"/>
      <c r="G160" s="31"/>
      <c r="H160" s="31"/>
      <c r="I160" s="31"/>
      <c r="J160" s="31"/>
      <c r="K160" s="31"/>
      <c r="L160" s="31"/>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2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5" min="1" style="2" width="36"/>
    <col collapsed="false" customWidth="true" hidden="false" outlineLevel="0" max="8" min="6" style="2" width="10"/>
  </cols>
  <sheetData>
    <row r="1" customFormat="false" ht="36" hidden="false" customHeight="true" outlineLevel="0" collapsed="false">
      <c r="A1" s="3" t="s">
        <v>1555</v>
      </c>
      <c r="B1" s="3"/>
      <c r="C1" s="3"/>
      <c r="D1" s="3"/>
      <c r="E1" s="3"/>
      <c r="F1" s="3"/>
      <c r="G1" s="3"/>
      <c r="H1" s="3"/>
    </row>
    <row r="2" customFormat="false" ht="15" hidden="false" customHeight="true" outlineLevel="0" collapsed="false">
      <c r="A2" s="5" t="s">
        <v>90</v>
      </c>
      <c r="B2" s="5" t="s">
        <v>1556</v>
      </c>
      <c r="C2" s="5"/>
      <c r="D2" s="5"/>
      <c r="E2" s="5"/>
      <c r="F2" s="5"/>
      <c r="G2" s="5"/>
      <c r="H2" s="5"/>
    </row>
    <row r="3" customFormat="false" ht="54" hidden="false" customHeight="true" outlineLevel="0" collapsed="false">
      <c r="A3" s="80" t="s">
        <v>1557</v>
      </c>
      <c r="B3" s="81" t="s">
        <v>1558</v>
      </c>
      <c r="C3" s="81"/>
      <c r="D3" s="81"/>
      <c r="E3" s="81"/>
      <c r="F3" s="5"/>
      <c r="G3" s="5"/>
      <c r="H3" s="5"/>
    </row>
    <row r="4" customFormat="false" ht="15" hidden="false" customHeight="true" outlineLevel="0" collapsed="false">
      <c r="A4" s="5" t="s">
        <v>1559</v>
      </c>
      <c r="B4" s="5" t="s">
        <v>1560</v>
      </c>
      <c r="C4" s="5"/>
      <c r="D4" s="5"/>
      <c r="E4" s="5"/>
      <c r="F4" s="5"/>
      <c r="G4" s="5"/>
      <c r="H4" s="5"/>
    </row>
    <row r="5" customFormat="false" ht="15" hidden="false" customHeight="true" outlineLevel="0" collapsed="false">
      <c r="A5" s="9" t="s">
        <v>1561</v>
      </c>
      <c r="B5" s="9" t="s">
        <v>1562</v>
      </c>
      <c r="C5" s="9"/>
      <c r="D5" s="9"/>
      <c r="E5" s="9"/>
      <c r="F5" s="9"/>
      <c r="G5" s="9"/>
      <c r="H5" s="9"/>
    </row>
    <row r="6" customFormat="false" ht="24" hidden="false" customHeight="true" outlineLevel="0" collapsed="false">
      <c r="A6" s="82" t="s">
        <v>1563</v>
      </c>
      <c r="B6" s="82" t="s">
        <v>348</v>
      </c>
      <c r="C6" s="82" t="s">
        <v>348</v>
      </c>
      <c r="D6" s="82" t="s">
        <v>1564</v>
      </c>
      <c r="E6" s="82" t="s">
        <v>1565</v>
      </c>
      <c r="F6" s="5"/>
      <c r="G6" s="5"/>
      <c r="H6" s="5"/>
    </row>
    <row r="7" customFormat="false" ht="24" hidden="false" customHeight="true" outlineLevel="0" collapsed="false">
      <c r="A7" s="5" t="s">
        <v>1566</v>
      </c>
      <c r="B7" s="5" t="s">
        <v>348</v>
      </c>
      <c r="C7" s="5" t="s">
        <v>348</v>
      </c>
      <c r="D7" s="5" t="s">
        <v>1567</v>
      </c>
      <c r="E7" s="5" t="s">
        <v>1568</v>
      </c>
      <c r="F7" s="5"/>
      <c r="G7" s="5"/>
      <c r="H7" s="5"/>
    </row>
    <row r="8" customFormat="false" ht="24" hidden="false" customHeight="true" outlineLevel="0" collapsed="false">
      <c r="A8" s="82" t="s">
        <v>1569</v>
      </c>
      <c r="B8" s="82" t="s">
        <v>348</v>
      </c>
      <c r="C8" s="82" t="s">
        <v>348</v>
      </c>
      <c r="D8" s="82" t="s">
        <v>1570</v>
      </c>
      <c r="E8" s="82" t="s">
        <v>1571</v>
      </c>
      <c r="F8" s="5"/>
      <c r="G8" s="5"/>
      <c r="H8" s="5"/>
    </row>
    <row r="9" customFormat="false" ht="24" hidden="false" customHeight="true" outlineLevel="0" collapsed="false">
      <c r="A9" s="5" t="s">
        <v>1572</v>
      </c>
      <c r="B9" s="5" t="s">
        <v>348</v>
      </c>
      <c r="C9" s="5" t="s">
        <v>348</v>
      </c>
      <c r="D9" s="5" t="s">
        <v>1573</v>
      </c>
      <c r="E9" s="5" t="s">
        <v>1574</v>
      </c>
      <c r="F9" s="5"/>
      <c r="G9" s="5"/>
      <c r="H9" s="5"/>
    </row>
    <row r="10" customFormat="false" ht="24" hidden="false" customHeight="true" outlineLevel="0" collapsed="false">
      <c r="A10" s="82" t="s">
        <v>1575</v>
      </c>
      <c r="B10" s="82" t="s">
        <v>348</v>
      </c>
      <c r="C10" s="82" t="s">
        <v>348</v>
      </c>
      <c r="D10" s="82" t="s">
        <v>1576</v>
      </c>
      <c r="E10" s="82" t="s">
        <v>1577</v>
      </c>
      <c r="F10" s="5"/>
      <c r="G10" s="5"/>
      <c r="H10" s="5"/>
    </row>
    <row r="11" customFormat="false" ht="24" hidden="false" customHeight="true" outlineLevel="0" collapsed="false">
      <c r="A11" s="5" t="s">
        <v>1578</v>
      </c>
      <c r="B11" s="5" t="str">
        <f aca="false">IF(COUNTIF(B6:B10,"FAIL")+COUNTIF(B6:B10,"UNKNOWN")&gt;0,"FAIL_OR_UNKNOWN","PASS")</f>
        <v>PASS</v>
      </c>
      <c r="C11" s="5" t="str">
        <f aca="false">IF(COUNTIF(C6:C10,"FAIL")+COUNTIF(C6:C10,"UNKNOWN")&gt;0,"FAIL_OR_UNKNOWN","PASS")</f>
        <v>PASS</v>
      </c>
      <c r="D11" s="5" t="s">
        <v>1579</v>
      </c>
      <c r="E11" s="5" t="s">
        <v>1580</v>
      </c>
      <c r="F11" s="5"/>
      <c r="G11" s="5"/>
      <c r="H11" s="5"/>
    </row>
    <row r="12" customFormat="false" ht="24" hidden="false" customHeight="true" outlineLevel="0" collapsed="false">
      <c r="A12" s="82" t="s">
        <v>1581</v>
      </c>
      <c r="B12" s="82" t="s">
        <v>15</v>
      </c>
      <c r="C12" s="82" t="s">
        <v>15</v>
      </c>
      <c r="D12" s="82" t="s">
        <v>1582</v>
      </c>
      <c r="E12" s="82" t="s">
        <v>1583</v>
      </c>
      <c r="F12" s="5"/>
      <c r="G12" s="5"/>
      <c r="H12" s="5"/>
    </row>
    <row r="13" customFormat="false" ht="24" hidden="false" customHeight="true" outlineLevel="0" collapsed="false">
      <c r="A13" s="5" t="s">
        <v>1584</v>
      </c>
      <c r="B13" s="5" t="str">
        <f aca="false">IF(B11="PASS","YES","NO")</f>
        <v>YES</v>
      </c>
      <c r="C13" s="5" t="str">
        <f aca="false">IF(C11="PASS","YES","NO")</f>
        <v>YES</v>
      </c>
      <c r="D13" s="5" t="s">
        <v>1585</v>
      </c>
      <c r="E13" s="5" t="s">
        <v>1586</v>
      </c>
      <c r="F13" s="5"/>
      <c r="G13" s="5"/>
      <c r="H13" s="5"/>
    </row>
    <row r="14" customFormat="false" ht="36" hidden="false" customHeight="true" outlineLevel="0" collapsed="false">
      <c r="A14" s="82" t="s">
        <v>1587</v>
      </c>
      <c r="B14" s="82" t="s">
        <v>1588</v>
      </c>
      <c r="C14" s="82" t="s">
        <v>1588</v>
      </c>
      <c r="D14" s="82" t="s">
        <v>1589</v>
      </c>
      <c r="E14" s="82" t="s">
        <v>1590</v>
      </c>
      <c r="F14" s="5"/>
      <c r="G14" s="5"/>
      <c r="H14" s="5"/>
    </row>
    <row r="15" customFormat="false" ht="15" hidden="false" customHeight="false" outlineLevel="0" collapsed="false">
      <c r="A15" s="5"/>
      <c r="B15" s="5"/>
      <c r="C15" s="5"/>
      <c r="D15" s="5"/>
      <c r="E15" s="5"/>
      <c r="F15" s="5"/>
      <c r="G15" s="5"/>
      <c r="H15" s="5"/>
    </row>
    <row r="16" customFormat="false" ht="15" hidden="false" customHeight="false" outlineLevel="0" collapsed="false">
      <c r="A16" s="5"/>
      <c r="B16" s="5"/>
      <c r="C16" s="5"/>
      <c r="D16" s="5"/>
      <c r="E16" s="5"/>
      <c r="F16" s="5"/>
      <c r="G16" s="5"/>
      <c r="H16" s="5"/>
    </row>
    <row r="17" customFormat="false" ht="15" hidden="false" customHeight="false" outlineLevel="0" collapsed="false">
      <c r="A17" s="5"/>
      <c r="B17" s="5"/>
      <c r="C17" s="5"/>
      <c r="D17" s="5"/>
      <c r="E17" s="5"/>
      <c r="F17" s="5"/>
      <c r="G17" s="5"/>
      <c r="H17" s="5"/>
    </row>
    <row r="18" customFormat="false" ht="15" hidden="false" customHeight="false" outlineLevel="0" collapsed="false">
      <c r="A18" s="5"/>
      <c r="B18" s="5"/>
      <c r="C18" s="5"/>
      <c r="D18" s="5"/>
      <c r="E18" s="5"/>
      <c r="F18" s="5"/>
      <c r="G18" s="5"/>
      <c r="H18" s="5"/>
    </row>
    <row r="19" customFormat="false" ht="15" hidden="false" customHeight="false" outlineLevel="0" collapsed="false">
      <c r="A19" s="5"/>
      <c r="B19" s="5"/>
      <c r="C19" s="5"/>
      <c r="D19" s="5"/>
      <c r="E19" s="5"/>
      <c r="F19" s="5"/>
      <c r="G19" s="5"/>
      <c r="H19" s="5"/>
    </row>
    <row r="20" customFormat="false" ht="15" hidden="false" customHeight="false" outlineLevel="0" collapsed="false">
      <c r="A20" s="5"/>
      <c r="B20" s="5"/>
      <c r="C20" s="5"/>
      <c r="D20" s="5"/>
      <c r="E20" s="5"/>
      <c r="F20" s="5"/>
      <c r="G20" s="5"/>
      <c r="H20" s="5"/>
    </row>
  </sheetData>
  <mergeCells count="2">
    <mergeCell ref="A1:E1"/>
    <mergeCell ref="B3:E3"/>
  </mergeCells>
  <dataValidations count="1">
    <dataValidation allowBlank="false" errorStyle="stop" operator="between" showDropDown="false" showErrorMessage="false" showInputMessage="false" sqref="B6:C13" type="list">
      <formula1>"PASS,FAIL,UNKNOWN,NOT_MATERIAL"</formula1>
      <formula2>0</formula2>
    </dataValidation>
  </dataValidation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T8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9" min="1" style="1" width="36"/>
    <col collapsed="false" customWidth="true" hidden="false" outlineLevel="0" max="10" min="10" style="2" width="10"/>
  </cols>
  <sheetData>
    <row r="1" customFormat="false" ht="14.25" hidden="false" customHeight="true" outlineLevel="0" collapsed="false">
      <c r="A1" s="3" t="s">
        <v>1591</v>
      </c>
      <c r="B1" s="3"/>
      <c r="C1" s="3"/>
      <c r="D1" s="3"/>
      <c r="E1" s="3"/>
      <c r="F1" s="3"/>
      <c r="G1" s="3"/>
      <c r="H1" s="3"/>
      <c r="I1" s="3"/>
      <c r="J1" s="3"/>
      <c r="K1" s="31"/>
      <c r="L1" s="31"/>
      <c r="M1" s="31"/>
      <c r="N1" s="31"/>
      <c r="O1" s="31"/>
      <c r="P1" s="31"/>
      <c r="Q1" s="31"/>
      <c r="R1" s="31"/>
      <c r="S1" s="31"/>
      <c r="T1" s="31"/>
    </row>
    <row r="2" customFormat="false" ht="13.5" hidden="false" customHeight="true" outlineLevel="0" collapsed="false">
      <c r="A2" s="5"/>
      <c r="B2" s="5"/>
      <c r="C2" s="5"/>
      <c r="D2" s="5"/>
      <c r="E2" s="5"/>
      <c r="F2" s="5"/>
      <c r="G2" s="5"/>
      <c r="H2" s="5"/>
      <c r="I2" s="5"/>
      <c r="J2" s="5"/>
      <c r="K2" s="31"/>
      <c r="L2" s="31"/>
      <c r="M2" s="31"/>
      <c r="N2" s="31"/>
      <c r="O2" s="31"/>
      <c r="P2" s="31"/>
      <c r="Q2" s="31"/>
      <c r="R2" s="31"/>
      <c r="S2" s="31"/>
      <c r="T2" s="31"/>
    </row>
    <row r="3" customFormat="false" ht="14.25" hidden="false" customHeight="true" outlineLevel="0" collapsed="false">
      <c r="A3" s="7" t="s">
        <v>1592</v>
      </c>
      <c r="B3" s="5"/>
      <c r="C3" s="5"/>
      <c r="D3" s="5"/>
      <c r="E3" s="5"/>
      <c r="F3" s="5"/>
      <c r="G3" s="5"/>
      <c r="H3" s="5"/>
      <c r="I3" s="5"/>
      <c r="J3" s="5"/>
      <c r="K3" s="31"/>
      <c r="L3" s="31"/>
      <c r="M3" s="31"/>
      <c r="N3" s="31"/>
      <c r="O3" s="31"/>
      <c r="P3" s="31"/>
      <c r="Q3" s="31"/>
      <c r="R3" s="31"/>
      <c r="S3" s="31"/>
      <c r="T3" s="31"/>
    </row>
    <row r="4" customFormat="false" ht="14.25" hidden="false" customHeight="true" outlineLevel="0" collapsed="false">
      <c r="A4" s="7" t="s">
        <v>1593</v>
      </c>
      <c r="B4" s="5"/>
      <c r="C4" s="5"/>
      <c r="D4" s="5"/>
      <c r="E4" s="5"/>
      <c r="F4" s="5"/>
      <c r="G4" s="5"/>
      <c r="H4" s="5"/>
      <c r="I4" s="5"/>
      <c r="J4" s="5"/>
      <c r="K4" s="31"/>
      <c r="L4" s="31"/>
      <c r="M4" s="31"/>
      <c r="N4" s="31"/>
      <c r="O4" s="31"/>
      <c r="P4" s="31"/>
      <c r="Q4" s="31"/>
      <c r="R4" s="31"/>
      <c r="S4" s="31"/>
      <c r="T4" s="31"/>
    </row>
    <row r="5" customFormat="false" ht="14.25" hidden="false" customHeight="true" outlineLevel="0" collapsed="false">
      <c r="A5" s="79" t="s">
        <v>1594</v>
      </c>
      <c r="B5" s="24" t="n">
        <f aca="false">B61</f>
        <v>0.0153129427168233</v>
      </c>
      <c r="C5" s="5"/>
      <c r="D5" s="5"/>
      <c r="E5" s="5"/>
      <c r="F5" s="5"/>
      <c r="G5" s="5"/>
      <c r="H5" s="5"/>
      <c r="I5" s="5"/>
      <c r="J5" s="5"/>
      <c r="K5" s="31"/>
      <c r="L5" s="31"/>
      <c r="M5" s="31"/>
      <c r="N5" s="31"/>
      <c r="O5" s="31"/>
      <c r="P5" s="31"/>
      <c r="Q5" s="31"/>
      <c r="R5" s="31"/>
      <c r="S5" s="31"/>
      <c r="T5" s="31"/>
    </row>
    <row r="6" customFormat="false" ht="14.25" hidden="false" customHeight="true" outlineLevel="0" collapsed="false">
      <c r="A6" s="7" t="s">
        <v>1595</v>
      </c>
      <c r="B6" s="24" t="n">
        <f aca="false">B62</f>
        <v>-0.00112238738505248</v>
      </c>
      <c r="C6" s="24" t="n">
        <f aca="false">B61</f>
        <v>0.0153129427168233</v>
      </c>
      <c r="D6" s="5"/>
      <c r="E6" s="5"/>
      <c r="F6" s="5"/>
      <c r="G6" s="5"/>
      <c r="H6" s="5"/>
      <c r="I6" s="5"/>
      <c r="J6" s="5"/>
      <c r="K6" s="31"/>
      <c r="L6" s="31"/>
      <c r="M6" s="31"/>
      <c r="N6" s="31"/>
      <c r="O6" s="31"/>
      <c r="P6" s="31"/>
      <c r="Q6" s="31"/>
      <c r="R6" s="31"/>
      <c r="S6" s="31"/>
      <c r="T6" s="31"/>
    </row>
    <row r="7" customFormat="false" ht="14.25" hidden="false" customHeight="true" outlineLevel="0" collapsed="false">
      <c r="A7" s="23" t="s">
        <v>1596</v>
      </c>
      <c r="B7" s="7" t="str">
        <f aca="false">IF(B61&gt;B62,"A",IF(B62&gt;B61,"B","TIE"))</f>
        <v>A</v>
      </c>
      <c r="C7" s="24"/>
      <c r="D7" s="5"/>
      <c r="E7" s="5"/>
      <c r="F7" s="5"/>
      <c r="G7" s="5"/>
      <c r="H7" s="5"/>
      <c r="I7" s="5"/>
      <c r="J7" s="5"/>
      <c r="K7" s="31"/>
      <c r="L7" s="31"/>
      <c r="M7" s="31"/>
      <c r="N7" s="31"/>
      <c r="O7" s="31"/>
      <c r="P7" s="31"/>
      <c r="Q7" s="31"/>
      <c r="R7" s="31"/>
      <c r="S7" s="31"/>
      <c r="T7" s="31"/>
    </row>
    <row r="8" customFormat="false" ht="13.5" hidden="false" customHeight="true" outlineLevel="0" collapsed="false">
      <c r="A8" s="5"/>
      <c r="B8" s="5"/>
      <c r="C8" s="5"/>
      <c r="D8" s="5"/>
      <c r="E8" s="5"/>
      <c r="F8" s="5"/>
      <c r="G8" s="5"/>
      <c r="H8" s="5"/>
      <c r="I8" s="5"/>
      <c r="J8" s="5"/>
      <c r="K8" s="31"/>
      <c r="L8" s="31"/>
      <c r="M8" s="31"/>
      <c r="N8" s="31"/>
      <c r="O8" s="31"/>
      <c r="P8" s="31"/>
      <c r="Q8" s="31"/>
      <c r="R8" s="31"/>
      <c r="S8" s="31"/>
      <c r="T8" s="31"/>
    </row>
    <row r="9" customFormat="false" ht="14.25" hidden="false" customHeight="true" outlineLevel="0" collapsed="false">
      <c r="A9" s="7" t="s">
        <v>1597</v>
      </c>
      <c r="B9" s="5"/>
      <c r="C9" s="5"/>
      <c r="D9" s="5"/>
      <c r="E9" s="5"/>
      <c r="F9" s="5"/>
      <c r="G9" s="5"/>
      <c r="H9" s="5"/>
      <c r="I9" s="5"/>
      <c r="J9" s="5"/>
      <c r="K9" s="31"/>
      <c r="L9" s="31"/>
      <c r="M9" s="31"/>
      <c r="N9" s="31"/>
      <c r="O9" s="31"/>
      <c r="P9" s="31"/>
      <c r="Q9" s="31"/>
      <c r="R9" s="31"/>
      <c r="S9" s="31"/>
      <c r="T9" s="31"/>
    </row>
    <row r="10" customFormat="false" ht="14.25" hidden="false" customHeight="true" outlineLevel="0" collapsed="false">
      <c r="A10" s="7" t="s">
        <v>787</v>
      </c>
      <c r="B10" s="7" t="s">
        <v>773</v>
      </c>
      <c r="C10" s="83" t="s">
        <v>1598</v>
      </c>
      <c r="D10" s="5" t="s">
        <v>1599</v>
      </c>
      <c r="E10" s="5" t="s">
        <v>1600</v>
      </c>
      <c r="F10" s="5" t="s">
        <v>774</v>
      </c>
      <c r="G10" s="5" t="s">
        <v>1601</v>
      </c>
      <c r="H10" s="5" t="s">
        <v>353</v>
      </c>
      <c r="I10" s="5" t="s">
        <v>721</v>
      </c>
      <c r="J10" s="5"/>
      <c r="K10" s="31"/>
      <c r="L10" s="31"/>
      <c r="M10" s="31"/>
      <c r="N10" s="31"/>
      <c r="O10" s="31"/>
      <c r="P10" s="31"/>
      <c r="Q10" s="31"/>
      <c r="R10" s="31"/>
      <c r="S10" s="31"/>
      <c r="T10" s="31"/>
    </row>
    <row r="11" customFormat="false" ht="14.25" hidden="false" customHeight="true" outlineLevel="0" collapsed="false">
      <c r="A11" s="7" t="s">
        <v>1602</v>
      </c>
      <c r="B11" s="7" t="n">
        <f aca="false">I_prop!F7</f>
        <v>0.249007884327423</v>
      </c>
      <c r="C11" s="83" t="n">
        <f aca="false">PLSS_Local_Scope!E12</f>
        <v>0.307666666666667</v>
      </c>
      <c r="D11" s="5" t="n">
        <f aca="false">Parameters!B52</f>
        <v>0.142857142857143</v>
      </c>
      <c r="E11" s="5" t="n">
        <f aca="false">I_prop!F7*PLSS_Local_Scope!E12*Parameters!B52</f>
        <v>0.0109444893921053</v>
      </c>
      <c r="F11" s="5" t="n">
        <f aca="false">I_prop!F18</f>
        <v>-0.0463335676706336</v>
      </c>
      <c r="G11" s="5" t="n">
        <f aca="false">I_prop!F18*PLSS_Local_Scope!E12*Parameters!B52</f>
        <v>-0.00203647061714261</v>
      </c>
      <c r="H11" s="5" t="s">
        <v>1603</v>
      </c>
      <c r="I11" s="5" t="s">
        <v>1604</v>
      </c>
      <c r="J11" s="5"/>
      <c r="K11" s="31"/>
      <c r="L11" s="31"/>
      <c r="M11" s="31"/>
      <c r="N11" s="31"/>
      <c r="O11" s="31"/>
      <c r="P11" s="31"/>
      <c r="Q11" s="31"/>
      <c r="R11" s="31"/>
      <c r="S11" s="31"/>
      <c r="T11" s="31"/>
    </row>
    <row r="12" customFormat="false" ht="14.25" hidden="false" customHeight="true" outlineLevel="0" collapsed="false">
      <c r="A12" s="7" t="s">
        <v>1605</v>
      </c>
      <c r="B12" s="24" t="n">
        <f aca="false">I_prop!G7</f>
        <v>0.143259855793144</v>
      </c>
      <c r="C12" s="83" t="n">
        <f aca="false">PLSS_Local_Scope!E12</f>
        <v>0.307666666666667</v>
      </c>
      <c r="D12" s="5" t="n">
        <f aca="false">Parameters!B53</f>
        <v>0.142857142857143</v>
      </c>
      <c r="E12" s="5" t="n">
        <f aca="false">I_prop!G7*PLSS_Local_Scope!E12*Parameters!B53</f>
        <v>0.00629661175700345</v>
      </c>
      <c r="F12" s="5" t="n">
        <f aca="false">I_prop!G18</f>
        <v>0</v>
      </c>
      <c r="G12" s="5" t="n">
        <f aca="false">I_prop!G18*PLSS_Local_Scope!E12*Parameters!B53</f>
        <v>0</v>
      </c>
      <c r="H12" s="5" t="s">
        <v>1603</v>
      </c>
      <c r="I12" s="5" t="s">
        <v>1604</v>
      </c>
      <c r="J12" s="5"/>
      <c r="K12" s="31"/>
      <c r="L12" s="31"/>
      <c r="M12" s="31"/>
      <c r="N12" s="31"/>
      <c r="O12" s="31"/>
      <c r="P12" s="31"/>
      <c r="Q12" s="31"/>
      <c r="R12" s="31"/>
      <c r="S12" s="31"/>
      <c r="T12" s="31"/>
    </row>
    <row r="13" customFormat="false" ht="14.25" hidden="false" customHeight="true" outlineLevel="0" collapsed="false">
      <c r="A13" s="7" t="s">
        <v>1606</v>
      </c>
      <c r="B13" s="24" t="n">
        <f aca="false">I_prop!B8</f>
        <v>0.0461621762340888</v>
      </c>
      <c r="C13" s="83" t="n">
        <f aca="false">PLSS_Local_Scope!E13</f>
        <v>0.156333333333333</v>
      </c>
      <c r="D13" s="5" t="n">
        <f aca="false">Parameters!B48</f>
        <v>0.142857142857143</v>
      </c>
      <c r="E13" s="5" t="n">
        <f aca="false">I_prop!B8*PLSS_Local_Scope!E13*Parameters!B48</f>
        <v>0.00103095526922798</v>
      </c>
      <c r="F13" s="5" t="n">
        <f aca="false">I_prop!B19</f>
        <v>-0.0184759004375379</v>
      </c>
      <c r="G13" s="5" t="n">
        <f aca="false">I_prop!B19*PLSS_Local_Scope!E13*Parameters!B48</f>
        <v>-0.000412628443105014</v>
      </c>
      <c r="H13" s="5" t="s">
        <v>1603</v>
      </c>
      <c r="I13" s="5" t="s">
        <v>1604</v>
      </c>
      <c r="J13" s="5"/>
      <c r="K13" s="31"/>
      <c r="L13" s="31"/>
      <c r="M13" s="31"/>
      <c r="N13" s="31"/>
      <c r="O13" s="31"/>
      <c r="P13" s="31"/>
      <c r="Q13" s="31"/>
      <c r="R13" s="31"/>
      <c r="S13" s="31"/>
      <c r="T13" s="31"/>
    </row>
    <row r="14" customFormat="false" ht="14.25" hidden="false" customHeight="true" outlineLevel="0" collapsed="false">
      <c r="A14" s="7" t="s">
        <v>1607</v>
      </c>
      <c r="B14" s="24" t="n">
        <f aca="false">I_prop!B9</f>
        <v>-0.0197952743221616</v>
      </c>
      <c r="C14" s="83" t="n">
        <f aca="false">PLSS_Local_Scope!E14</f>
        <v>0.122333333333333</v>
      </c>
      <c r="D14" s="5" t="n">
        <f aca="false">Parameters!B48</f>
        <v>0.142857142857143</v>
      </c>
      <c r="E14" s="5" t="n">
        <f aca="false">I_prop!B9*PLSS_Local_Scope!E14*Parameters!B48</f>
        <v>-0.00034594598458254</v>
      </c>
      <c r="F14" s="5" t="n">
        <f aca="false">I_prop!B20</f>
        <v>0.0131978073405774</v>
      </c>
      <c r="G14" s="5" t="n">
        <f aca="false">I_prop!B20*PLSS_Local_Scope!E14*Parameters!B48</f>
        <v>0.000230647394951996</v>
      </c>
      <c r="H14" s="5" t="s">
        <v>1603</v>
      </c>
      <c r="I14" s="5" t="s">
        <v>1604</v>
      </c>
      <c r="J14" s="5"/>
      <c r="K14" s="31"/>
      <c r="L14" s="31"/>
      <c r="M14" s="31"/>
      <c r="N14" s="31"/>
      <c r="O14" s="31"/>
      <c r="P14" s="31"/>
      <c r="Q14" s="31"/>
      <c r="R14" s="31"/>
      <c r="S14" s="31"/>
      <c r="T14" s="31"/>
    </row>
    <row r="15" customFormat="false" ht="14.25" hidden="false" customHeight="true" outlineLevel="0" collapsed="false">
      <c r="A15" s="7" t="s">
        <v>1608</v>
      </c>
      <c r="B15" s="24" t="n">
        <f aca="false">I_prop!D9</f>
        <v>-0.0807256868155385</v>
      </c>
      <c r="C15" s="83" t="n">
        <f aca="false">PLSS_Local_Scope!E14</f>
        <v>0.122333333333333</v>
      </c>
      <c r="D15" s="5" t="n">
        <f aca="false">Parameters!B50</f>
        <v>0.142857142857143</v>
      </c>
      <c r="E15" s="5" t="n">
        <f aca="false">I_prop!D9*PLSS_Local_Scope!E14*Parameters!B50</f>
        <v>-0.00141077747910965</v>
      </c>
      <c r="F15" s="5" t="n">
        <f aca="false">I_prop!D20</f>
        <v>0.0615155722135092</v>
      </c>
      <c r="G15" s="5" t="n">
        <f aca="false">I_prop!D20*PLSS_Local_Scope!E14*Parameters!B50</f>
        <v>0.00107505785725514</v>
      </c>
      <c r="H15" s="5" t="s">
        <v>1603</v>
      </c>
      <c r="I15" s="5" t="s">
        <v>1604</v>
      </c>
      <c r="J15" s="5"/>
      <c r="K15" s="31"/>
      <c r="L15" s="31"/>
      <c r="M15" s="31"/>
      <c r="N15" s="31"/>
      <c r="O15" s="31"/>
      <c r="P15" s="31"/>
      <c r="Q15" s="31"/>
      <c r="R15" s="31"/>
      <c r="S15" s="31"/>
      <c r="T15" s="31"/>
    </row>
    <row r="16" customFormat="false" ht="14.25" hidden="false" customHeight="true" outlineLevel="0" collapsed="false">
      <c r="A16" s="7" t="s">
        <v>1609</v>
      </c>
      <c r="B16" s="24" t="n">
        <f aca="false">I_prop!B10</f>
        <v>-0.0855694362958967</v>
      </c>
      <c r="C16" s="83" t="n">
        <f aca="false">PLSS_Local_Scope!E15</f>
        <v>0.116666666666667</v>
      </c>
      <c r="D16" s="5" t="n">
        <f aca="false">Parameters!B48</f>
        <v>0.142857142857143</v>
      </c>
      <c r="E16" s="5" t="n">
        <f aca="false">I_prop!B10*PLSS_Local_Scope!E15*Parameters!B48</f>
        <v>-0.00142615727159828</v>
      </c>
      <c r="F16" s="5" t="n">
        <f aca="false">I_prop!B21</f>
        <v>0.0102114556191722</v>
      </c>
      <c r="G16" s="5" t="n">
        <f aca="false">I_prop!B21*PLSS_Local_Scope!E15*Parameters!B48</f>
        <v>0.000170190926986204</v>
      </c>
      <c r="H16" s="5" t="s">
        <v>1603</v>
      </c>
      <c r="I16" s="5" t="s">
        <v>1604</v>
      </c>
      <c r="J16" s="5"/>
      <c r="K16" s="31"/>
      <c r="L16" s="31"/>
      <c r="M16" s="31"/>
      <c r="N16" s="31"/>
      <c r="O16" s="31"/>
      <c r="P16" s="31"/>
      <c r="Q16" s="31"/>
      <c r="R16" s="31"/>
      <c r="S16" s="31"/>
      <c r="T16" s="31"/>
    </row>
    <row r="17" customFormat="false" ht="14.25" hidden="false" customHeight="true" outlineLevel="0" collapsed="false">
      <c r="A17" s="7" t="s">
        <v>1610</v>
      </c>
      <c r="B17" s="84" t="n">
        <f aca="false">I_prop!H13</f>
        <v>0.0153165179573599</v>
      </c>
      <c r="C17" s="5" t="n">
        <f aca="false">PLSS_Local_Scope!E18</f>
        <v>0.102266666666667</v>
      </c>
      <c r="D17" s="5" t="n">
        <f aca="false">Parameters!B54</f>
        <v>0.142857142857143</v>
      </c>
      <c r="E17" s="5" t="n">
        <f aca="false">I_prop!H13*PLSS_Local_Scope!E18*Parameters!B54</f>
        <v>0.000223767033777048</v>
      </c>
      <c r="F17" s="5" t="n">
        <f aca="false">I_prop!H24</f>
        <v>-0.0102114556191722</v>
      </c>
      <c r="G17" s="5" t="n">
        <f aca="false">I_prop!H24*PLSS_Local_Scope!E18*Parameters!B54</f>
        <v>-0.000149184503998192</v>
      </c>
      <c r="H17" s="5" t="s">
        <v>1603</v>
      </c>
      <c r="I17" s="5" t="s">
        <v>1604</v>
      </c>
      <c r="J17" s="5"/>
      <c r="K17" s="31"/>
      <c r="L17" s="31"/>
      <c r="M17" s="31"/>
      <c r="N17" s="31"/>
      <c r="O17" s="31"/>
      <c r="P17" s="31"/>
      <c r="Q17" s="31"/>
      <c r="R17" s="31"/>
      <c r="S17" s="31"/>
      <c r="T17" s="31"/>
    </row>
    <row r="18" customFormat="false" ht="14.25" hidden="false" customHeight="true" outlineLevel="0" collapsed="false">
      <c r="A18" s="33" t="s">
        <v>1611</v>
      </c>
      <c r="B18" s="5" t="n">
        <f aca="false">SUM(E11:E17)</f>
        <v>0.0153129427168233</v>
      </c>
      <c r="C18" s="5"/>
      <c r="D18" s="5"/>
      <c r="E18" s="5"/>
      <c r="F18" s="5"/>
      <c r="G18" s="5"/>
      <c r="H18" s="5"/>
      <c r="I18" s="5"/>
      <c r="J18" s="5"/>
      <c r="K18" s="31"/>
      <c r="L18" s="31"/>
      <c r="M18" s="31"/>
      <c r="N18" s="31"/>
      <c r="O18" s="31"/>
      <c r="P18" s="31"/>
      <c r="Q18" s="31"/>
      <c r="R18" s="31"/>
      <c r="S18" s="31"/>
      <c r="T18" s="31"/>
    </row>
    <row r="19" customFormat="false" ht="13.5" hidden="false" customHeight="true" outlineLevel="0" collapsed="false">
      <c r="A19" s="5" t="s">
        <v>1612</v>
      </c>
      <c r="B19" s="5" t="n">
        <f aca="false">SUM(G11:G17)</f>
        <v>-0.00112238738505248</v>
      </c>
      <c r="C19" s="5"/>
      <c r="D19" s="5"/>
      <c r="E19" s="5"/>
      <c r="F19" s="5"/>
      <c r="G19" s="5"/>
      <c r="H19" s="5"/>
      <c r="I19" s="5"/>
      <c r="J19" s="5"/>
      <c r="K19" s="31"/>
      <c r="L19" s="31"/>
      <c r="M19" s="31"/>
      <c r="N19" s="31"/>
      <c r="O19" s="31"/>
      <c r="P19" s="31"/>
      <c r="Q19" s="31"/>
      <c r="R19" s="31"/>
      <c r="S19" s="31"/>
      <c r="T19" s="31"/>
    </row>
    <row r="20" customFormat="false" ht="13.5" hidden="false" customHeight="true" outlineLevel="0" collapsed="false">
      <c r="A20" s="5" t="s">
        <v>1613</v>
      </c>
      <c r="B20" s="5" t="n">
        <f aca="false">B5</f>
        <v>0.0153129427168233</v>
      </c>
      <c r="C20" s="5"/>
      <c r="D20" s="5"/>
      <c r="E20" s="5"/>
      <c r="F20" s="5"/>
      <c r="G20" s="5"/>
      <c r="H20" s="5"/>
      <c r="I20" s="5"/>
      <c r="J20" s="5"/>
      <c r="K20" s="31"/>
      <c r="L20" s="31"/>
      <c r="M20" s="31"/>
      <c r="N20" s="31"/>
      <c r="O20" s="31"/>
      <c r="P20" s="31"/>
      <c r="Q20" s="31"/>
      <c r="R20" s="31"/>
      <c r="S20" s="31"/>
      <c r="T20" s="31"/>
    </row>
    <row r="21" customFormat="false" ht="14.25" hidden="false" customHeight="true" outlineLevel="0" collapsed="false">
      <c r="A21" s="23" t="s">
        <v>1614</v>
      </c>
      <c r="B21" s="5" t="n">
        <f aca="false">B6</f>
        <v>-0.00112238738505248</v>
      </c>
      <c r="C21" s="5"/>
      <c r="D21" s="5"/>
      <c r="E21" s="5"/>
      <c r="F21" s="5"/>
      <c r="G21" s="5"/>
      <c r="H21" s="5"/>
      <c r="I21" s="5"/>
      <c r="J21" s="5"/>
      <c r="K21" s="31"/>
      <c r="L21" s="31"/>
      <c r="M21" s="31"/>
      <c r="N21" s="31"/>
      <c r="O21" s="31"/>
      <c r="P21" s="31"/>
      <c r="Q21" s="31"/>
      <c r="R21" s="31"/>
      <c r="S21" s="31"/>
      <c r="T21" s="31"/>
    </row>
    <row r="22" customFormat="false" ht="14.25" hidden="false" customHeight="true" outlineLevel="0" collapsed="false">
      <c r="A22" s="7" t="s">
        <v>1615</v>
      </c>
      <c r="B22" s="7" t="s">
        <v>1616</v>
      </c>
      <c r="C22" s="83"/>
      <c r="D22" s="5"/>
      <c r="E22" s="5"/>
      <c r="F22" s="5"/>
      <c r="G22" s="5"/>
      <c r="H22" s="5"/>
      <c r="I22" s="5"/>
      <c r="J22" s="5"/>
      <c r="K22" s="31"/>
      <c r="L22" s="31"/>
      <c r="M22" s="31"/>
      <c r="N22" s="31"/>
      <c r="O22" s="31"/>
      <c r="P22" s="31"/>
      <c r="Q22" s="31"/>
      <c r="R22" s="31"/>
      <c r="S22" s="31"/>
      <c r="T22" s="31"/>
    </row>
    <row r="23" customFormat="false" ht="14.25" hidden="false" customHeight="true" outlineLevel="0" collapsed="false">
      <c r="A23" s="7"/>
      <c r="B23" s="24"/>
      <c r="C23" s="83"/>
      <c r="D23" s="5"/>
      <c r="E23" s="5"/>
      <c r="F23" s="5"/>
      <c r="G23" s="5"/>
      <c r="H23" s="5"/>
      <c r="I23" s="5"/>
      <c r="J23" s="5"/>
      <c r="K23" s="31"/>
      <c r="L23" s="31"/>
      <c r="M23" s="31"/>
      <c r="N23" s="31"/>
      <c r="O23" s="31"/>
      <c r="P23" s="31"/>
      <c r="Q23" s="31"/>
      <c r="R23" s="31"/>
      <c r="S23" s="31"/>
      <c r="T23" s="31"/>
    </row>
    <row r="24" customFormat="false" ht="14.25" hidden="false" customHeight="true" outlineLevel="0" collapsed="false">
      <c r="A24" s="7"/>
      <c r="B24" s="24"/>
      <c r="C24" s="83"/>
      <c r="D24" s="5"/>
      <c r="E24" s="5"/>
      <c r="F24" s="5"/>
      <c r="G24" s="5"/>
      <c r="H24" s="5"/>
      <c r="I24" s="5"/>
      <c r="J24" s="5"/>
      <c r="K24" s="31"/>
      <c r="L24" s="31"/>
      <c r="M24" s="31"/>
      <c r="N24" s="31"/>
      <c r="O24" s="31"/>
      <c r="P24" s="31"/>
      <c r="Q24" s="31"/>
      <c r="R24" s="31"/>
      <c r="S24" s="31"/>
      <c r="T24" s="31"/>
    </row>
    <row r="25" customFormat="false" ht="14.25" hidden="false" customHeight="true" outlineLevel="0" collapsed="false">
      <c r="A25" s="7"/>
      <c r="B25" s="24"/>
      <c r="C25" s="83"/>
      <c r="D25" s="5"/>
      <c r="E25" s="5"/>
      <c r="F25" s="5"/>
      <c r="G25" s="5"/>
      <c r="H25" s="5"/>
      <c r="I25" s="5"/>
      <c r="J25" s="5"/>
      <c r="K25" s="31"/>
      <c r="L25" s="31"/>
      <c r="M25" s="31"/>
      <c r="N25" s="31"/>
      <c r="O25" s="31"/>
      <c r="P25" s="31"/>
      <c r="Q25" s="31"/>
      <c r="R25" s="31"/>
      <c r="S25" s="31"/>
      <c r="T25" s="31"/>
    </row>
    <row r="26" customFormat="false" ht="14.25" hidden="false" customHeight="true" outlineLevel="0" collapsed="false">
      <c r="A26" s="7"/>
      <c r="B26" s="24"/>
      <c r="C26" s="83"/>
      <c r="D26" s="5"/>
      <c r="E26" s="5"/>
      <c r="F26" s="5"/>
      <c r="G26" s="5"/>
      <c r="H26" s="5"/>
      <c r="I26" s="5"/>
      <c r="J26" s="5"/>
      <c r="K26" s="31"/>
      <c r="L26" s="31"/>
      <c r="M26" s="31"/>
      <c r="N26" s="31"/>
      <c r="O26" s="31"/>
      <c r="P26" s="31"/>
      <c r="Q26" s="31"/>
      <c r="R26" s="31"/>
      <c r="S26" s="31"/>
      <c r="T26" s="31"/>
    </row>
    <row r="27" customFormat="false" ht="14.25" hidden="false" customHeight="true" outlineLevel="0" collapsed="false">
      <c r="A27" s="7"/>
      <c r="B27" s="24"/>
      <c r="C27" s="83"/>
      <c r="D27" s="5"/>
      <c r="E27" s="5"/>
      <c r="F27" s="5"/>
      <c r="G27" s="5"/>
      <c r="H27" s="5"/>
      <c r="I27" s="5"/>
      <c r="J27" s="5"/>
      <c r="K27" s="31"/>
      <c r="L27" s="31"/>
      <c r="M27" s="31"/>
      <c r="N27" s="31"/>
      <c r="O27" s="31"/>
      <c r="P27" s="31"/>
      <c r="Q27" s="31"/>
      <c r="R27" s="31"/>
      <c r="S27" s="31"/>
      <c r="T27" s="31"/>
    </row>
    <row r="28" customFormat="false" ht="14.25" hidden="false" customHeight="true" outlineLevel="0" collapsed="false">
      <c r="A28" s="7"/>
      <c r="B28" s="84"/>
      <c r="C28" s="5"/>
      <c r="D28" s="5"/>
      <c r="E28" s="5"/>
      <c r="F28" s="5"/>
      <c r="G28" s="5"/>
      <c r="H28" s="5"/>
      <c r="I28" s="5"/>
      <c r="J28" s="5"/>
      <c r="K28" s="31"/>
      <c r="L28" s="31"/>
      <c r="M28" s="31"/>
      <c r="N28" s="31"/>
      <c r="O28" s="31"/>
      <c r="P28" s="31"/>
      <c r="Q28" s="31"/>
      <c r="R28" s="31"/>
      <c r="S28" s="31"/>
      <c r="T28" s="31"/>
    </row>
    <row r="29" customFormat="false" ht="14.25" hidden="false" customHeight="true" outlineLevel="0" collapsed="false">
      <c r="A29" s="33"/>
      <c r="B29" s="5"/>
      <c r="C29" s="5"/>
      <c r="D29" s="5"/>
      <c r="E29" s="5"/>
      <c r="F29" s="5"/>
      <c r="G29" s="5"/>
      <c r="H29" s="5"/>
      <c r="I29" s="5"/>
      <c r="J29" s="5"/>
      <c r="K29" s="31"/>
      <c r="L29" s="31"/>
      <c r="M29" s="31"/>
      <c r="N29" s="31"/>
      <c r="O29" s="31"/>
      <c r="P29" s="31"/>
      <c r="Q29" s="31"/>
      <c r="R29" s="31"/>
      <c r="S29" s="31"/>
      <c r="T29" s="31"/>
    </row>
    <row r="30" customFormat="false" ht="13.5" hidden="false" customHeight="true" outlineLevel="0" collapsed="false">
      <c r="A30" s="5"/>
      <c r="B30" s="5"/>
      <c r="C30" s="5"/>
      <c r="D30" s="5"/>
      <c r="E30" s="5"/>
      <c r="F30" s="5"/>
      <c r="G30" s="5"/>
      <c r="H30" s="5"/>
      <c r="I30" s="5"/>
      <c r="J30" s="5"/>
      <c r="K30" s="31"/>
      <c r="L30" s="31"/>
      <c r="M30" s="31"/>
      <c r="N30" s="31"/>
      <c r="O30" s="31"/>
      <c r="P30" s="31"/>
      <c r="Q30" s="31"/>
      <c r="R30" s="31"/>
      <c r="S30" s="31"/>
      <c r="T30" s="31"/>
    </row>
    <row r="31" customFormat="false" ht="13.5" hidden="false" customHeight="true" outlineLevel="0" collapsed="false">
      <c r="A31" s="5"/>
      <c r="B31" s="5"/>
      <c r="C31" s="5"/>
      <c r="D31" s="5"/>
      <c r="E31" s="5"/>
      <c r="F31" s="5"/>
      <c r="G31" s="5"/>
      <c r="H31" s="5"/>
      <c r="I31" s="5"/>
      <c r="J31" s="5"/>
      <c r="K31" s="31"/>
      <c r="L31" s="31"/>
      <c r="M31" s="31"/>
      <c r="N31" s="31"/>
      <c r="O31" s="31"/>
      <c r="P31" s="31"/>
      <c r="Q31" s="31"/>
      <c r="R31" s="31"/>
      <c r="S31" s="31"/>
      <c r="T31" s="31"/>
    </row>
    <row r="32" customFormat="false" ht="14.25" hidden="false" customHeight="true" outlineLevel="0" collapsed="false">
      <c r="A32" s="23" t="s">
        <v>1617</v>
      </c>
      <c r="B32" s="5"/>
      <c r="C32" s="5"/>
      <c r="D32" s="5"/>
      <c r="E32" s="5"/>
      <c r="F32" s="5"/>
      <c r="G32" s="5"/>
      <c r="H32" s="5"/>
      <c r="I32" s="5"/>
      <c r="J32" s="5"/>
      <c r="K32" s="31"/>
      <c r="L32" s="31"/>
      <c r="M32" s="31"/>
      <c r="N32" s="31"/>
      <c r="O32" s="31"/>
      <c r="P32" s="31"/>
      <c r="Q32" s="31"/>
      <c r="R32" s="31"/>
      <c r="S32" s="31"/>
      <c r="T32" s="31"/>
    </row>
    <row r="33" customFormat="false" ht="14.25" hidden="false" customHeight="true" outlineLevel="0" collapsed="false">
      <c r="A33" s="7" t="s">
        <v>1594</v>
      </c>
      <c r="B33" s="84" t="n">
        <f aca="false">B61</f>
        <v>0.0153129427168233</v>
      </c>
      <c r="C33" s="5"/>
      <c r="D33" s="5"/>
      <c r="E33" s="5"/>
      <c r="F33" s="5"/>
      <c r="G33" s="5"/>
      <c r="H33" s="5"/>
      <c r="I33" s="5"/>
      <c r="J33" s="5"/>
      <c r="K33" s="31"/>
      <c r="L33" s="31"/>
      <c r="M33" s="31"/>
      <c r="N33" s="31"/>
      <c r="O33" s="31"/>
      <c r="P33" s="31"/>
      <c r="Q33" s="31"/>
      <c r="R33" s="31"/>
      <c r="S33" s="31"/>
      <c r="T33" s="31"/>
    </row>
    <row r="34" customFormat="false" ht="14.25" hidden="false" customHeight="true" outlineLevel="0" collapsed="false">
      <c r="A34" s="7" t="s">
        <v>1595</v>
      </c>
      <c r="B34" s="84" t="n">
        <f aca="false">B62</f>
        <v>-0.00112238738505248</v>
      </c>
      <c r="C34" s="5"/>
      <c r="D34" s="5"/>
      <c r="E34" s="5"/>
      <c r="F34" s="5"/>
      <c r="G34" s="5"/>
      <c r="H34" s="5"/>
      <c r="I34" s="5"/>
      <c r="J34" s="5"/>
      <c r="K34" s="31"/>
      <c r="L34" s="31"/>
      <c r="M34" s="31"/>
      <c r="N34" s="31"/>
      <c r="O34" s="31"/>
      <c r="P34" s="31"/>
      <c r="Q34" s="31"/>
      <c r="R34" s="31"/>
      <c r="S34" s="31"/>
      <c r="T34" s="31"/>
    </row>
    <row r="35" customFormat="false" ht="14.25" hidden="false" customHeight="true" outlineLevel="0" collapsed="false">
      <c r="A35" s="7" t="s">
        <v>1618</v>
      </c>
      <c r="B35" s="5" t="n">
        <f aca="false">ABS(B61-B62)</f>
        <v>0.0164353301018758</v>
      </c>
      <c r="C35" s="5"/>
      <c r="D35" s="5"/>
      <c r="E35" s="5"/>
      <c r="F35" s="5"/>
      <c r="G35" s="5"/>
      <c r="H35" s="5"/>
      <c r="I35" s="5"/>
      <c r="J35" s="5"/>
      <c r="K35" s="31"/>
      <c r="L35" s="31"/>
      <c r="M35" s="31"/>
      <c r="N35" s="31"/>
      <c r="O35" s="31"/>
      <c r="P35" s="31"/>
      <c r="Q35" s="31"/>
      <c r="R35" s="31"/>
      <c r="S35" s="31"/>
      <c r="T35" s="31"/>
    </row>
    <row r="36" customFormat="false" ht="14.25" hidden="false" customHeight="true" outlineLevel="0" collapsed="false">
      <c r="A36" s="7" t="s">
        <v>1619</v>
      </c>
      <c r="B36" s="5" t="n">
        <f aca="false">CANON!B26</f>
        <v>0.02</v>
      </c>
      <c r="C36" s="5"/>
      <c r="D36" s="5"/>
      <c r="E36" s="5"/>
      <c r="F36" s="5"/>
      <c r="G36" s="5"/>
      <c r="H36" s="5"/>
      <c r="I36" s="5"/>
      <c r="J36" s="5"/>
      <c r="K36" s="31"/>
      <c r="L36" s="31"/>
      <c r="M36" s="31"/>
      <c r="N36" s="31"/>
      <c r="O36" s="31"/>
      <c r="P36" s="31"/>
      <c r="Q36" s="31"/>
      <c r="R36" s="31"/>
      <c r="S36" s="31"/>
      <c r="T36" s="31"/>
    </row>
    <row r="37" customFormat="false" ht="14.25" hidden="false" customHeight="true" outlineLevel="0" collapsed="false">
      <c r="A37" s="7" t="str">
        <f aca="false">"Gap = |RLS_A-RLS_B|/√(σ_A²+σ_B²+ε); exemplar uses σ_A=σ_B=σ_est, so Gap = "&amp;TEXT(ABS(CANON!B63-CANON!B64)/SQRT(2*CANON!B26^2+0.000001),"0.000")&amp;" &lt; δ = "&amp;TEXT(CANON!B22,"0.###")</f>
        <v>Gap = |RLS_A-RLS_B|/√(σ_A²+σ_B²+ε); exemplar uses σ_A=σ_B=σ_est, so Gap = 0.581 &lt; δ = 2</v>
      </c>
      <c r="B37" s="5"/>
      <c r="C37" s="5"/>
      <c r="D37" s="5"/>
      <c r="E37" s="5"/>
      <c r="F37" s="5"/>
      <c r="G37" s="5"/>
      <c r="H37" s="5"/>
      <c r="I37" s="5"/>
      <c r="J37" s="5"/>
      <c r="K37" s="31"/>
      <c r="L37" s="31"/>
      <c r="M37" s="31"/>
      <c r="N37" s="31"/>
      <c r="O37" s="31"/>
      <c r="P37" s="31"/>
      <c r="Q37" s="31"/>
      <c r="R37" s="31"/>
      <c r="S37" s="31"/>
      <c r="T37" s="31"/>
    </row>
    <row r="38" customFormat="false" ht="14.25" hidden="false" customHeight="true" outlineLevel="0" collapsed="false">
      <c r="A38" s="7" t="s">
        <v>1620</v>
      </c>
      <c r="B38" s="5" t="str">
        <f aca="false">IF(AND(CANON!B10&gt;=2,ABS(CANON!B63-CANON!B64)/SQRT(2*CANON!B26^2+0.000001)&lt;CANON!B22),"NON-DECISIVE","DECISIVE")</f>
        <v>NON-DECISIVE</v>
      </c>
      <c r="C38" s="5"/>
      <c r="D38" s="5"/>
      <c r="E38" s="5"/>
      <c r="F38" s="5"/>
      <c r="G38" s="5"/>
      <c r="H38" s="5"/>
      <c r="I38" s="5"/>
      <c r="J38" s="5"/>
      <c r="K38" s="31"/>
      <c r="L38" s="31"/>
      <c r="M38" s="31"/>
      <c r="N38" s="31"/>
      <c r="O38" s="31"/>
      <c r="P38" s="31"/>
      <c r="Q38" s="31"/>
      <c r="R38" s="31"/>
      <c r="S38" s="31"/>
      <c r="T38" s="31"/>
    </row>
    <row r="39" customFormat="false" ht="14.25" hidden="false" customHeight="true" outlineLevel="0" collapsed="false">
      <c r="A39" s="79" t="s">
        <v>1621</v>
      </c>
      <c r="B39" s="5" t="str">
        <f aca="false">IF(B61&gt;B62,"Option A",IF(B62&gt;B61,"Option B","Tie"))&amp;IF(B38="NON-DECISIVE"," (proceed to tie-break)","")</f>
        <v>Option A (proceed to tie-break)</v>
      </c>
      <c r="C39" s="5"/>
      <c r="D39" s="5"/>
      <c r="E39" s="5"/>
      <c r="F39" s="5"/>
      <c r="G39" s="5"/>
      <c r="H39" s="5"/>
      <c r="I39" s="5"/>
      <c r="J39" s="5"/>
      <c r="K39" s="31"/>
      <c r="L39" s="31"/>
      <c r="M39" s="31"/>
      <c r="N39" s="31"/>
      <c r="O39" s="31"/>
      <c r="P39" s="31"/>
      <c r="Q39" s="31"/>
      <c r="R39" s="31"/>
      <c r="S39" s="31"/>
      <c r="T39" s="31"/>
    </row>
    <row r="40" customFormat="false" ht="13.5" hidden="false" customHeight="true" outlineLevel="0" collapsed="false">
      <c r="A40" s="5"/>
      <c r="B40" s="5"/>
      <c r="C40" s="5"/>
      <c r="D40" s="5"/>
      <c r="E40" s="5"/>
      <c r="F40" s="5"/>
      <c r="G40" s="5"/>
      <c r="H40" s="5"/>
      <c r="I40" s="5"/>
      <c r="J40" s="5"/>
      <c r="K40" s="31"/>
      <c r="L40" s="31"/>
      <c r="M40" s="31"/>
      <c r="N40" s="31"/>
      <c r="O40" s="31"/>
      <c r="P40" s="31"/>
      <c r="Q40" s="31"/>
      <c r="R40" s="31"/>
      <c r="S40" s="31"/>
      <c r="T40" s="31"/>
    </row>
    <row r="41" customFormat="false" ht="14.25" hidden="false" customHeight="true" outlineLevel="0" collapsed="false">
      <c r="A41" s="23" t="s">
        <v>1622</v>
      </c>
      <c r="B41" s="5"/>
      <c r="C41" s="5"/>
      <c r="D41" s="5"/>
      <c r="E41" s="5"/>
      <c r="F41" s="5"/>
      <c r="G41" s="5"/>
      <c r="H41" s="5"/>
      <c r="I41" s="5"/>
      <c r="J41" s="5"/>
      <c r="K41" s="31"/>
      <c r="L41" s="31"/>
      <c r="M41" s="31"/>
      <c r="N41" s="31"/>
      <c r="O41" s="31"/>
      <c r="P41" s="31"/>
      <c r="Q41" s="31"/>
      <c r="R41" s="31"/>
      <c r="S41" s="31"/>
      <c r="T41" s="31"/>
    </row>
    <row r="42" customFormat="false" ht="14.25" hidden="false" customHeight="true" outlineLevel="0" collapsed="false">
      <c r="A42" s="7" t="s">
        <v>1623</v>
      </c>
      <c r="B42" s="5" t="str">
        <f aca="false">"RLS would favor "&amp;IF(B61&gt;B62,"A",IF(B62&gt;B61,"B","TIE"))&amp;IF(B38="NON-DECISIVE"," (higher score) but gap not decisive"," decisively")</f>
        <v>RLS would favor A (higher score) but gap not decisive</v>
      </c>
      <c r="C42" s="5"/>
      <c r="D42" s="5"/>
      <c r="E42" s="5"/>
      <c r="F42" s="5"/>
      <c r="G42" s="5"/>
      <c r="H42" s="5"/>
      <c r="I42" s="5"/>
      <c r="J42" s="5"/>
      <c r="K42" s="31"/>
      <c r="L42" s="31"/>
      <c r="M42" s="31"/>
      <c r="N42" s="31"/>
      <c r="O42" s="31"/>
      <c r="P42" s="31"/>
      <c r="Q42" s="31"/>
      <c r="R42" s="31"/>
      <c r="S42" s="31"/>
      <c r="T42" s="31"/>
    </row>
    <row r="43" customFormat="false" ht="14.25" hidden="false" customHeight="true" outlineLevel="0" collapsed="false">
      <c r="A43" s="79"/>
      <c r="B43" s="5"/>
      <c r="C43" s="5"/>
      <c r="D43" s="5"/>
      <c r="E43" s="5"/>
      <c r="F43" s="5"/>
      <c r="G43" s="5"/>
      <c r="H43" s="5"/>
      <c r="I43" s="5"/>
      <c r="J43" s="5"/>
      <c r="K43" s="31"/>
      <c r="L43" s="31"/>
      <c r="M43" s="31"/>
      <c r="N43" s="31"/>
      <c r="O43" s="31"/>
      <c r="P43" s="31"/>
      <c r="Q43" s="31"/>
      <c r="R43" s="31"/>
      <c r="S43" s="31"/>
      <c r="T43" s="31"/>
    </row>
    <row r="44" customFormat="false" ht="14.25" hidden="false" customHeight="true" outlineLevel="0" collapsed="false">
      <c r="A44" s="7" t="s">
        <v>1624</v>
      </c>
      <c r="B44" s="5"/>
      <c r="C44" s="5"/>
      <c r="D44" s="5"/>
      <c r="E44" s="5"/>
      <c r="F44" s="5"/>
      <c r="G44" s="5"/>
      <c r="H44" s="5"/>
      <c r="I44" s="5"/>
      <c r="J44" s="5"/>
      <c r="K44" s="31"/>
      <c r="L44" s="31"/>
      <c r="M44" s="31"/>
      <c r="N44" s="31"/>
      <c r="O44" s="31"/>
      <c r="P44" s="31"/>
      <c r="Q44" s="31"/>
      <c r="R44" s="31"/>
      <c r="S44" s="31"/>
      <c r="T44" s="31"/>
    </row>
    <row r="45" customFormat="false" ht="13.5" hidden="false" customHeight="true" outlineLevel="0" collapsed="false">
      <c r="A45" s="5" t="s">
        <v>1625</v>
      </c>
      <c r="B45" s="5"/>
      <c r="C45" s="5"/>
      <c r="D45" s="5"/>
      <c r="E45" s="5"/>
      <c r="F45" s="5"/>
      <c r="G45" s="5"/>
      <c r="H45" s="5"/>
      <c r="I45" s="5"/>
      <c r="J45" s="5"/>
      <c r="K45" s="31"/>
      <c r="L45" s="31"/>
      <c r="M45" s="31"/>
      <c r="N45" s="31"/>
      <c r="O45" s="31"/>
      <c r="P45" s="31"/>
      <c r="Q45" s="31"/>
      <c r="R45" s="31"/>
      <c r="S45" s="31"/>
      <c r="T45" s="31"/>
    </row>
    <row r="46" customFormat="false" ht="13.5" hidden="false" customHeight="true" outlineLevel="0" collapsed="false">
      <c r="A46" s="5"/>
      <c r="B46" s="5"/>
      <c r="C46" s="5"/>
      <c r="D46" s="5"/>
      <c r="E46" s="5"/>
      <c r="F46" s="5"/>
      <c r="G46" s="5"/>
      <c r="H46" s="5"/>
      <c r="I46" s="5"/>
      <c r="J46" s="5"/>
      <c r="K46" s="31"/>
      <c r="L46" s="31"/>
      <c r="M46" s="31"/>
      <c r="N46" s="31"/>
      <c r="O46" s="31"/>
      <c r="P46" s="31"/>
      <c r="Q46" s="31"/>
      <c r="R46" s="31"/>
      <c r="S46" s="31"/>
      <c r="T46" s="31"/>
    </row>
    <row r="47" customFormat="false" ht="13.5" hidden="false" customHeight="true" outlineLevel="0" collapsed="false">
      <c r="A47" s="5"/>
      <c r="B47" s="5"/>
      <c r="C47" s="5"/>
      <c r="D47" s="5"/>
      <c r="E47" s="5"/>
      <c r="F47" s="5"/>
      <c r="G47" s="5"/>
      <c r="H47" s="5"/>
      <c r="I47" s="5"/>
      <c r="J47" s="5"/>
      <c r="K47" s="31"/>
      <c r="L47" s="31"/>
      <c r="M47" s="31"/>
      <c r="N47" s="31"/>
      <c r="O47" s="31"/>
      <c r="P47" s="31"/>
      <c r="Q47" s="31"/>
      <c r="R47" s="31"/>
      <c r="S47" s="31"/>
      <c r="T47" s="31"/>
    </row>
    <row r="48" customFormat="false" ht="13.5" hidden="false" customHeight="true" outlineLevel="0" collapsed="false">
      <c r="A48" s="5"/>
      <c r="B48" s="5"/>
      <c r="C48" s="5"/>
      <c r="D48" s="5"/>
      <c r="E48" s="5"/>
      <c r="F48" s="5"/>
      <c r="G48" s="5"/>
      <c r="H48" s="5"/>
      <c r="I48" s="5"/>
      <c r="J48" s="5"/>
      <c r="K48" s="31"/>
      <c r="L48" s="31"/>
      <c r="M48" s="31"/>
      <c r="N48" s="31"/>
      <c r="O48" s="31"/>
      <c r="P48" s="31"/>
      <c r="Q48" s="31"/>
      <c r="R48" s="31"/>
      <c r="S48" s="31"/>
      <c r="T48" s="31"/>
    </row>
    <row r="49" customFormat="false" ht="13.5" hidden="false" customHeight="true" outlineLevel="0" collapsed="false">
      <c r="A49" s="5"/>
      <c r="B49" s="5"/>
      <c r="C49" s="5"/>
      <c r="D49" s="5"/>
      <c r="E49" s="5"/>
      <c r="F49" s="5"/>
      <c r="G49" s="5"/>
      <c r="H49" s="5"/>
      <c r="I49" s="5"/>
      <c r="J49" s="5"/>
      <c r="K49" s="31"/>
      <c r="L49" s="31"/>
      <c r="M49" s="31"/>
      <c r="N49" s="31"/>
      <c r="O49" s="31"/>
      <c r="P49" s="31"/>
      <c r="Q49" s="31"/>
      <c r="R49" s="31"/>
      <c r="S49" s="31"/>
      <c r="T49" s="31"/>
    </row>
    <row r="50" customFormat="false" ht="24" hidden="false" customHeight="true" outlineLevel="0" collapsed="false">
      <c r="A50" s="7" t="s">
        <v>1626</v>
      </c>
      <c r="B50" s="5"/>
      <c r="C50" s="5"/>
      <c r="D50" s="5"/>
      <c r="E50" s="5"/>
      <c r="F50" s="5"/>
      <c r="G50" s="5"/>
      <c r="H50" s="5"/>
      <c r="I50" s="5"/>
      <c r="J50" s="5"/>
      <c r="K50" s="31"/>
      <c r="L50" s="31"/>
      <c r="M50" s="31"/>
      <c r="N50" s="31"/>
      <c r="O50" s="31"/>
      <c r="P50" s="31"/>
      <c r="Q50" s="31"/>
      <c r="R50" s="31"/>
      <c r="S50" s="31"/>
      <c r="T50" s="31"/>
    </row>
    <row r="51" customFormat="false" ht="27.75" hidden="false" customHeight="true" outlineLevel="0" collapsed="false">
      <c r="A51" s="7" t="s">
        <v>1627</v>
      </c>
      <c r="B51" s="7" t="s">
        <v>771</v>
      </c>
      <c r="C51" s="7" t="s">
        <v>761</v>
      </c>
      <c r="D51" s="7" t="s">
        <v>770</v>
      </c>
      <c r="E51" s="7" t="s">
        <v>772</v>
      </c>
      <c r="F51" s="7" t="s">
        <v>769</v>
      </c>
      <c r="G51" s="7" t="s">
        <v>895</v>
      </c>
      <c r="H51" s="7" t="s">
        <v>767</v>
      </c>
      <c r="I51" s="7" t="s">
        <v>1598</v>
      </c>
      <c r="J51" s="5"/>
      <c r="K51" s="31"/>
      <c r="L51" s="31"/>
      <c r="M51" s="31"/>
      <c r="N51" s="31"/>
      <c r="O51" s="31"/>
      <c r="P51" s="31"/>
      <c r="Q51" s="31"/>
      <c r="R51" s="31"/>
      <c r="S51" s="31"/>
      <c r="T51" s="31"/>
    </row>
    <row r="52" customFormat="false" ht="14.25" hidden="false" customHeight="true" outlineLevel="0" collapsed="false">
      <c r="A52" s="7" t="s">
        <v>696</v>
      </c>
      <c r="B52" s="24" t="n">
        <f aca="false">Parameters!$B$48</f>
        <v>0.142857142857143</v>
      </c>
      <c r="C52" s="24" t="n">
        <f aca="false">Parameters!$B$49</f>
        <v>0.142857142857143</v>
      </c>
      <c r="D52" s="24" t="n">
        <f aca="false">Parameters!$B$50</f>
        <v>0.142857142857143</v>
      </c>
      <c r="E52" s="24" t="n">
        <f aca="false">Parameters!$B$51</f>
        <v>0.142857142857143</v>
      </c>
      <c r="F52" s="24" t="n">
        <f aca="false">Parameters!$B$52</f>
        <v>0.142857142857143</v>
      </c>
      <c r="G52" s="24" t="n">
        <f aca="false">Parameters!$B$53</f>
        <v>0.142857142857143</v>
      </c>
      <c r="H52" s="24" t="n">
        <f aca="false">Parameters!$B$54</f>
        <v>0.142857142857143</v>
      </c>
      <c r="I52" s="5"/>
      <c r="J52" s="5"/>
      <c r="K52" s="31"/>
      <c r="L52" s="31"/>
      <c r="M52" s="31"/>
      <c r="N52" s="31"/>
      <c r="O52" s="31"/>
      <c r="P52" s="31"/>
      <c r="Q52" s="31"/>
      <c r="R52" s="31"/>
      <c r="S52" s="31"/>
      <c r="T52" s="31"/>
    </row>
    <row r="53" customFormat="false" ht="14.25" hidden="false" customHeight="true" outlineLevel="0" collapsed="false">
      <c r="A53" s="7" t="s">
        <v>760</v>
      </c>
      <c r="B53" s="24" t="n">
        <f aca="false">$I53*B52</f>
        <v>0.043952380952381</v>
      </c>
      <c r="C53" s="24" t="n">
        <f aca="false">$I53*C52</f>
        <v>0.043952380952381</v>
      </c>
      <c r="D53" s="24" t="n">
        <f aca="false">$I53*D52</f>
        <v>0.043952380952381</v>
      </c>
      <c r="E53" s="24" t="n">
        <f aca="false">$I53*E52</f>
        <v>0.043952380952381</v>
      </c>
      <c r="F53" s="24" t="n">
        <f aca="false">$I53*F52</f>
        <v>0.043952380952381</v>
      </c>
      <c r="G53" s="24" t="n">
        <f aca="false">$I53*G52</f>
        <v>0.043952380952381</v>
      </c>
      <c r="H53" s="24" t="n">
        <f aca="false">$I53*H52</f>
        <v>0.043952380952381</v>
      </c>
      <c r="I53" s="24" t="n">
        <f aca="false">PLSS_Local_Scope!$E$12</f>
        <v>0.307666666666667</v>
      </c>
      <c r="J53" s="5"/>
      <c r="K53" s="31"/>
      <c r="L53" s="31"/>
      <c r="M53" s="31"/>
      <c r="N53" s="31"/>
      <c r="O53" s="31"/>
      <c r="P53" s="31"/>
      <c r="Q53" s="31"/>
      <c r="R53" s="31"/>
      <c r="S53" s="31"/>
      <c r="T53" s="31"/>
    </row>
    <row r="54" customFormat="false" ht="14.25" hidden="false" customHeight="true" outlineLevel="0" collapsed="false">
      <c r="A54" s="7" t="s">
        <v>762</v>
      </c>
      <c r="B54" s="24" t="n">
        <f aca="false">$I54*B52</f>
        <v>0.0223333333333334</v>
      </c>
      <c r="C54" s="24" t="n">
        <f aca="false">$I54*C52</f>
        <v>0.0223333333333334</v>
      </c>
      <c r="D54" s="24" t="n">
        <f aca="false">$I54*D52</f>
        <v>0.0223333333333334</v>
      </c>
      <c r="E54" s="24" t="n">
        <f aca="false">$I54*E52</f>
        <v>0.0223333333333334</v>
      </c>
      <c r="F54" s="24" t="n">
        <f aca="false">$I54*F52</f>
        <v>0.0223333333333334</v>
      </c>
      <c r="G54" s="24" t="n">
        <f aca="false">$I54*G52</f>
        <v>0.0223333333333334</v>
      </c>
      <c r="H54" s="24" t="n">
        <f aca="false">$I54*H52</f>
        <v>0.0223333333333334</v>
      </c>
      <c r="I54" s="24" t="n">
        <f aca="false">PLSS_Local_Scope!$E$13</f>
        <v>0.156333333333333</v>
      </c>
      <c r="J54" s="5"/>
      <c r="K54" s="31"/>
      <c r="L54" s="31"/>
      <c r="M54" s="31"/>
      <c r="N54" s="31"/>
      <c r="O54" s="31"/>
      <c r="P54" s="31"/>
      <c r="Q54" s="31"/>
      <c r="R54" s="31"/>
      <c r="S54" s="31"/>
      <c r="T54" s="31"/>
    </row>
    <row r="55" customFormat="false" ht="14.25" hidden="false" customHeight="true" outlineLevel="0" collapsed="false">
      <c r="A55" s="7" t="s">
        <v>763</v>
      </c>
      <c r="B55" s="24" t="n">
        <f aca="false">$I55*B52</f>
        <v>0.0174761904761905</v>
      </c>
      <c r="C55" s="24" t="n">
        <f aca="false">$I55*C52</f>
        <v>0.0174761904761905</v>
      </c>
      <c r="D55" s="24" t="n">
        <f aca="false">$I55*D52</f>
        <v>0.0174761904761905</v>
      </c>
      <c r="E55" s="24" t="n">
        <f aca="false">$I55*E52</f>
        <v>0.0174761904761905</v>
      </c>
      <c r="F55" s="24" t="n">
        <f aca="false">$I55*F52</f>
        <v>0.0174761904761905</v>
      </c>
      <c r="G55" s="24" t="n">
        <f aca="false">$I55*G52</f>
        <v>0.0174761904761905</v>
      </c>
      <c r="H55" s="24" t="n">
        <f aca="false">$I55*H52</f>
        <v>0.0174761904761905</v>
      </c>
      <c r="I55" s="24" t="n">
        <f aca="false">PLSS_Local_Scope!$E$14</f>
        <v>0.122333333333333</v>
      </c>
      <c r="J55" s="5"/>
      <c r="K55" s="31"/>
      <c r="L55" s="31"/>
      <c r="M55" s="31"/>
      <c r="N55" s="31"/>
      <c r="O55" s="31"/>
      <c r="P55" s="31"/>
      <c r="Q55" s="31"/>
      <c r="R55" s="31"/>
      <c r="S55" s="31"/>
      <c r="T55" s="31"/>
    </row>
    <row r="56" customFormat="false" ht="14.25" hidden="false" customHeight="true" outlineLevel="0" collapsed="false">
      <c r="A56" s="7" t="s">
        <v>764</v>
      </c>
      <c r="B56" s="24" t="n">
        <f aca="false">$I56*B52</f>
        <v>0.0166666666666667</v>
      </c>
      <c r="C56" s="24" t="n">
        <f aca="false">$I56*C52</f>
        <v>0.0166666666666667</v>
      </c>
      <c r="D56" s="24" t="n">
        <f aca="false">$I56*D52</f>
        <v>0.0166666666666667</v>
      </c>
      <c r="E56" s="24" t="n">
        <f aca="false">$I56*E52</f>
        <v>0.0166666666666667</v>
      </c>
      <c r="F56" s="24" t="n">
        <f aca="false">$I56*F52</f>
        <v>0.0166666666666667</v>
      </c>
      <c r="G56" s="24" t="n">
        <f aca="false">$I56*G52</f>
        <v>0.0166666666666667</v>
      </c>
      <c r="H56" s="24" t="n">
        <f aca="false">$I56*H52</f>
        <v>0.0166666666666667</v>
      </c>
      <c r="I56" s="24" t="n">
        <f aca="false">PLSS_Local_Scope!$E$15</f>
        <v>0.116666666666667</v>
      </c>
      <c r="J56" s="5"/>
      <c r="K56" s="31"/>
      <c r="L56" s="31"/>
      <c r="M56" s="31"/>
      <c r="N56" s="31"/>
      <c r="O56" s="31"/>
      <c r="P56" s="31"/>
      <c r="Q56" s="31"/>
      <c r="R56" s="31"/>
      <c r="S56" s="31"/>
      <c r="T56" s="31"/>
    </row>
    <row r="57" customFormat="false" ht="14.25" hidden="false" customHeight="true" outlineLevel="0" collapsed="false">
      <c r="A57" s="7" t="s">
        <v>765</v>
      </c>
      <c r="B57" s="24" t="n">
        <f aca="false">$I57*B52</f>
        <v>0.0130476190476191</v>
      </c>
      <c r="C57" s="24" t="n">
        <f aca="false">$I57*C52</f>
        <v>0.0130476190476191</v>
      </c>
      <c r="D57" s="24" t="n">
        <f aca="false">$I57*D52</f>
        <v>0.0130476190476191</v>
      </c>
      <c r="E57" s="24" t="n">
        <f aca="false">$I57*E52</f>
        <v>0.0130476190476191</v>
      </c>
      <c r="F57" s="24" t="n">
        <f aca="false">$I57*F52</f>
        <v>0.0130476190476191</v>
      </c>
      <c r="G57" s="24" t="n">
        <f aca="false">$I57*G52</f>
        <v>0.0130476190476191</v>
      </c>
      <c r="H57" s="24" t="n">
        <f aca="false">$I57*H52</f>
        <v>0.0130476190476191</v>
      </c>
      <c r="I57" s="24" t="n">
        <f aca="false">PLSS_Local_Scope!$E$16</f>
        <v>0.0913333333333333</v>
      </c>
      <c r="J57" s="5"/>
      <c r="K57" s="31"/>
      <c r="L57" s="31"/>
      <c r="M57" s="31"/>
      <c r="N57" s="31"/>
      <c r="O57" s="31"/>
      <c r="P57" s="31"/>
      <c r="Q57" s="31"/>
      <c r="R57" s="31"/>
      <c r="S57" s="31"/>
      <c r="T57" s="31"/>
    </row>
    <row r="58" customFormat="false" ht="14.25" hidden="false" customHeight="true" outlineLevel="0" collapsed="false">
      <c r="A58" s="7" t="s">
        <v>766</v>
      </c>
      <c r="B58" s="24" t="n">
        <f aca="false">$I58*B52</f>
        <v>0.0147714285714286</v>
      </c>
      <c r="C58" s="24" t="n">
        <f aca="false">$I58*C52</f>
        <v>0.0147714285714286</v>
      </c>
      <c r="D58" s="24" t="n">
        <f aca="false">$I58*D52</f>
        <v>0.0147714285714286</v>
      </c>
      <c r="E58" s="24" t="n">
        <f aca="false">$I58*E52</f>
        <v>0.0147714285714286</v>
      </c>
      <c r="F58" s="24" t="n">
        <f aca="false">$I58*F52</f>
        <v>0.0147714285714286</v>
      </c>
      <c r="G58" s="24" t="n">
        <f aca="false">$I58*G52</f>
        <v>0.0147714285714286</v>
      </c>
      <c r="H58" s="24" t="n">
        <f aca="false">$I58*H52</f>
        <v>0.0147714285714286</v>
      </c>
      <c r="I58" s="24" t="n">
        <f aca="false">PLSS_Local_Scope!$E$17</f>
        <v>0.1034</v>
      </c>
      <c r="J58" s="5"/>
      <c r="K58" s="31"/>
      <c r="L58" s="31"/>
      <c r="M58" s="31"/>
      <c r="N58" s="31"/>
      <c r="O58" s="31"/>
      <c r="P58" s="31"/>
      <c r="Q58" s="31"/>
      <c r="R58" s="31"/>
      <c r="S58" s="31"/>
      <c r="T58" s="31"/>
    </row>
    <row r="59" customFormat="false" ht="14.25" hidden="false" customHeight="true" outlineLevel="0" collapsed="false">
      <c r="A59" s="7" t="s">
        <v>768</v>
      </c>
      <c r="B59" s="24" t="n">
        <f aca="false">$I59*B52</f>
        <v>0.0146095238095238</v>
      </c>
      <c r="C59" s="24" t="n">
        <f aca="false">$I59*C52</f>
        <v>0.0146095238095238</v>
      </c>
      <c r="D59" s="24" t="n">
        <f aca="false">$I59*D52</f>
        <v>0.0146095238095238</v>
      </c>
      <c r="E59" s="24" t="n">
        <f aca="false">$I59*E52</f>
        <v>0.0146095238095238</v>
      </c>
      <c r="F59" s="24" t="n">
        <f aca="false">$I59*F52</f>
        <v>0.0146095238095238</v>
      </c>
      <c r="G59" s="24" t="n">
        <f aca="false">$I59*G52</f>
        <v>0.0146095238095238</v>
      </c>
      <c r="H59" s="24" t="n">
        <f aca="false">$I59*H52</f>
        <v>0.0146095238095238</v>
      </c>
      <c r="I59" s="24" t="n">
        <f aca="false">PLSS_Local_Scope!$E$18</f>
        <v>0.102266666666667</v>
      </c>
      <c r="J59" s="5"/>
      <c r="K59" s="31"/>
      <c r="L59" s="31"/>
      <c r="M59" s="31"/>
      <c r="N59" s="31"/>
      <c r="O59" s="31"/>
      <c r="P59" s="31"/>
      <c r="Q59" s="31"/>
      <c r="R59" s="31"/>
      <c r="S59" s="31"/>
      <c r="T59" s="31"/>
    </row>
    <row r="60" customFormat="false" ht="13.5" hidden="false" customHeight="true" outlineLevel="0" collapsed="false">
      <c r="A60" s="5"/>
      <c r="B60" s="5"/>
      <c r="C60" s="5"/>
      <c r="D60" s="5"/>
      <c r="E60" s="5"/>
      <c r="F60" s="5"/>
      <c r="G60" s="5"/>
      <c r="H60" s="5"/>
      <c r="I60" s="5"/>
      <c r="J60" s="5"/>
      <c r="K60" s="31"/>
      <c r="L60" s="31"/>
      <c r="M60" s="31"/>
      <c r="N60" s="31"/>
      <c r="O60" s="31"/>
      <c r="P60" s="31"/>
      <c r="Q60" s="31"/>
      <c r="R60" s="31"/>
      <c r="S60" s="31"/>
      <c r="T60" s="31"/>
    </row>
    <row r="61" customFormat="false" ht="14.25" hidden="false" customHeight="true" outlineLevel="0" collapsed="false">
      <c r="A61" s="7" t="s">
        <v>1594</v>
      </c>
      <c r="B61" s="24" t="n">
        <f aca="false">SUMPRODUCT(I_prop!$B$7:$H$13, $B$53:$H$59)</f>
        <v>0.0153129427168233</v>
      </c>
      <c r="C61" s="5"/>
      <c r="D61" s="5"/>
      <c r="E61" s="5"/>
      <c r="F61" s="5"/>
      <c r="G61" s="5"/>
      <c r="H61" s="5"/>
      <c r="I61" s="5"/>
      <c r="J61" s="5"/>
      <c r="K61" s="31"/>
      <c r="L61" s="31"/>
      <c r="M61" s="31"/>
      <c r="N61" s="31"/>
      <c r="O61" s="31"/>
      <c r="P61" s="31"/>
      <c r="Q61" s="31"/>
      <c r="R61" s="31"/>
      <c r="S61" s="31"/>
      <c r="T61" s="31"/>
    </row>
    <row r="62" customFormat="false" ht="14.25" hidden="false" customHeight="true" outlineLevel="0" collapsed="false">
      <c r="A62" s="7" t="s">
        <v>1595</v>
      </c>
      <c r="B62" s="24" t="n">
        <f aca="false">SUMPRODUCT(I_prop!$B$18:$H$24, $B$53:$H$59)</f>
        <v>-0.00112238738505248</v>
      </c>
      <c r="C62" s="5"/>
      <c r="D62" s="5"/>
      <c r="E62" s="5"/>
      <c r="F62" s="5"/>
      <c r="G62" s="5"/>
      <c r="H62" s="5"/>
      <c r="I62" s="5"/>
      <c r="J62" s="5"/>
      <c r="K62" s="31"/>
      <c r="L62" s="31"/>
      <c r="M62" s="31"/>
      <c r="N62" s="31"/>
      <c r="O62" s="31"/>
      <c r="P62" s="31"/>
      <c r="Q62" s="31"/>
      <c r="R62" s="31"/>
      <c r="S62" s="31"/>
      <c r="T62" s="31"/>
    </row>
    <row r="63" customFormat="false" ht="14.25" hidden="false" customHeight="true" outlineLevel="0" collapsed="false">
      <c r="A63" s="7" t="s">
        <v>1628</v>
      </c>
      <c r="B63" s="7" t="str">
        <f aca="false">IF(B61&gt;B62,"A",IF(B62&gt;B61,"B","TIE"))</f>
        <v>A</v>
      </c>
      <c r="C63" s="5"/>
      <c r="D63" s="5"/>
      <c r="E63" s="5"/>
      <c r="F63" s="5"/>
      <c r="G63" s="5"/>
      <c r="H63" s="5"/>
      <c r="I63" s="5"/>
      <c r="J63" s="5"/>
      <c r="K63" s="31"/>
      <c r="L63" s="31"/>
      <c r="M63" s="31"/>
      <c r="N63" s="31"/>
      <c r="O63" s="31"/>
      <c r="P63" s="31"/>
      <c r="Q63" s="31"/>
      <c r="R63" s="31"/>
      <c r="S63" s="31"/>
      <c r="T63" s="31"/>
    </row>
    <row r="64" customFormat="false" ht="171" hidden="false" customHeight="true" outlineLevel="0" collapsed="false">
      <c r="A64" s="5" t="s">
        <v>1629</v>
      </c>
      <c r="B64" s="5" t="s">
        <v>1630</v>
      </c>
      <c r="C64" s="5"/>
      <c r="D64" s="5"/>
      <c r="E64" s="5"/>
      <c r="F64" s="5"/>
      <c r="G64" s="5"/>
      <c r="H64" s="5"/>
      <c r="I64" s="5"/>
      <c r="J64" s="5"/>
      <c r="K64" s="31"/>
      <c r="L64" s="31"/>
      <c r="M64" s="31"/>
      <c r="N64" s="31"/>
      <c r="O64" s="31"/>
      <c r="P64" s="31"/>
      <c r="Q64" s="31"/>
      <c r="R64" s="31"/>
      <c r="S64" s="31"/>
      <c r="T64" s="31"/>
    </row>
    <row r="65" customFormat="false" ht="12.75" hidden="false" customHeight="false" outlineLevel="0" collapsed="false">
      <c r="A65" s="31"/>
      <c r="B65" s="31"/>
      <c r="C65" s="31"/>
      <c r="D65" s="31"/>
      <c r="E65" s="31"/>
      <c r="F65" s="31"/>
      <c r="G65" s="31"/>
      <c r="H65" s="31"/>
      <c r="I65" s="31"/>
      <c r="J65" s="31"/>
      <c r="K65" s="31"/>
      <c r="L65" s="31"/>
      <c r="M65" s="31"/>
      <c r="N65" s="31"/>
      <c r="O65" s="31"/>
      <c r="P65" s="31"/>
      <c r="Q65" s="31"/>
      <c r="R65" s="31"/>
      <c r="S65" s="31"/>
      <c r="T65" s="31"/>
    </row>
    <row r="66" customFormat="false" ht="12.75" hidden="false" customHeight="false" outlineLevel="0" collapsed="false">
      <c r="A66" s="31"/>
      <c r="B66" s="31"/>
      <c r="C66" s="31"/>
      <c r="D66" s="31"/>
      <c r="E66" s="31"/>
      <c r="F66" s="31"/>
      <c r="G66" s="31"/>
      <c r="H66" s="31"/>
      <c r="I66" s="31"/>
      <c r="J66" s="31"/>
      <c r="K66" s="31"/>
      <c r="L66" s="31"/>
      <c r="M66" s="31"/>
      <c r="N66" s="31"/>
      <c r="O66" s="31"/>
      <c r="P66" s="31"/>
      <c r="Q66" s="31"/>
      <c r="R66" s="31"/>
      <c r="S66" s="31"/>
      <c r="T66" s="31"/>
    </row>
    <row r="67" customFormat="false" ht="12.75" hidden="false" customHeight="false" outlineLevel="0" collapsed="false">
      <c r="A67" s="31"/>
      <c r="B67" s="31"/>
      <c r="C67" s="31"/>
      <c r="D67" s="31"/>
      <c r="E67" s="31"/>
      <c r="F67" s="31"/>
      <c r="G67" s="31"/>
      <c r="H67" s="31"/>
      <c r="I67" s="31"/>
      <c r="J67" s="31"/>
      <c r="K67" s="31"/>
      <c r="L67" s="31"/>
      <c r="M67" s="31"/>
      <c r="N67" s="31"/>
      <c r="O67" s="31"/>
      <c r="P67" s="31"/>
      <c r="Q67" s="31"/>
      <c r="R67" s="31"/>
      <c r="S67" s="31"/>
      <c r="T67" s="31"/>
    </row>
    <row r="68" customFormat="false" ht="12.75" hidden="false" customHeight="false" outlineLevel="0" collapsed="false">
      <c r="A68" s="31"/>
      <c r="B68" s="31"/>
      <c r="C68" s="31"/>
      <c r="D68" s="31"/>
      <c r="E68" s="31"/>
      <c r="F68" s="31"/>
      <c r="G68" s="31"/>
      <c r="H68" s="31"/>
      <c r="I68" s="31"/>
      <c r="J68" s="31"/>
      <c r="K68" s="31"/>
      <c r="L68" s="31"/>
      <c r="M68" s="31"/>
      <c r="N68" s="31"/>
      <c r="O68" s="31"/>
      <c r="P68" s="31"/>
      <c r="Q68" s="31"/>
      <c r="R68" s="31"/>
      <c r="S68" s="31"/>
      <c r="T68" s="31"/>
    </row>
    <row r="69" customFormat="false" ht="12.75" hidden="false" customHeight="false" outlineLevel="0" collapsed="false">
      <c r="A69" s="31"/>
      <c r="B69" s="31"/>
      <c r="C69" s="31"/>
      <c r="D69" s="31"/>
      <c r="E69" s="31"/>
      <c r="F69" s="31"/>
      <c r="G69" s="31"/>
      <c r="H69" s="31"/>
      <c r="I69" s="31"/>
      <c r="J69" s="31"/>
      <c r="K69" s="31"/>
      <c r="L69" s="31"/>
      <c r="M69" s="31"/>
      <c r="N69" s="31"/>
      <c r="O69" s="31"/>
      <c r="P69" s="31"/>
      <c r="Q69" s="31"/>
      <c r="R69" s="31"/>
      <c r="S69" s="31"/>
      <c r="T69" s="31"/>
    </row>
    <row r="70" customFormat="false" ht="12.75" hidden="false" customHeight="false" outlineLevel="0" collapsed="false">
      <c r="A70" s="31"/>
      <c r="B70" s="31"/>
      <c r="C70" s="31"/>
      <c r="D70" s="31"/>
      <c r="E70" s="31"/>
      <c r="F70" s="31"/>
      <c r="G70" s="31"/>
      <c r="H70" s="31"/>
      <c r="I70" s="31"/>
      <c r="J70" s="31"/>
      <c r="K70" s="31"/>
      <c r="L70" s="31"/>
      <c r="M70" s="31"/>
      <c r="N70" s="31"/>
      <c r="O70" s="31"/>
      <c r="P70" s="31"/>
      <c r="Q70" s="31"/>
      <c r="R70" s="31"/>
      <c r="S70" s="31"/>
      <c r="T70" s="31"/>
    </row>
    <row r="71" customFormat="false" ht="12.75" hidden="false" customHeight="false" outlineLevel="0" collapsed="false">
      <c r="A71" s="31"/>
      <c r="B71" s="31"/>
      <c r="C71" s="31"/>
      <c r="D71" s="31"/>
      <c r="E71" s="31"/>
      <c r="F71" s="31"/>
      <c r="G71" s="31"/>
      <c r="H71" s="31"/>
      <c r="I71" s="31"/>
      <c r="J71" s="31"/>
      <c r="K71" s="31"/>
      <c r="L71" s="31"/>
      <c r="M71" s="31"/>
      <c r="N71" s="31"/>
      <c r="O71" s="31"/>
      <c r="P71" s="31"/>
      <c r="Q71" s="31"/>
      <c r="R71" s="31"/>
      <c r="S71" s="31"/>
      <c r="T71" s="31"/>
    </row>
    <row r="72" customFormat="false" ht="12.75" hidden="false" customHeight="false" outlineLevel="0" collapsed="false">
      <c r="A72" s="31"/>
      <c r="B72" s="31"/>
      <c r="C72" s="31"/>
      <c r="D72" s="31"/>
      <c r="E72" s="31"/>
      <c r="F72" s="31"/>
      <c r="G72" s="31"/>
      <c r="H72" s="31"/>
      <c r="I72" s="31"/>
      <c r="J72" s="31"/>
      <c r="K72" s="31"/>
      <c r="L72" s="31"/>
      <c r="M72" s="31"/>
      <c r="N72" s="31"/>
      <c r="O72" s="31"/>
      <c r="P72" s="31"/>
      <c r="Q72" s="31"/>
      <c r="R72" s="31"/>
      <c r="S72" s="31"/>
      <c r="T72" s="31"/>
    </row>
    <row r="73" customFormat="false" ht="12.75" hidden="false" customHeight="false" outlineLevel="0" collapsed="false">
      <c r="A73" s="31"/>
      <c r="B73" s="31"/>
      <c r="C73" s="31"/>
      <c r="D73" s="31"/>
      <c r="E73" s="31"/>
      <c r="F73" s="31"/>
      <c r="G73" s="31"/>
      <c r="H73" s="31"/>
      <c r="I73" s="31"/>
      <c r="J73" s="31"/>
      <c r="K73" s="31"/>
      <c r="L73" s="31"/>
      <c r="M73" s="31"/>
      <c r="N73" s="31"/>
      <c r="O73" s="31"/>
      <c r="P73" s="31"/>
      <c r="Q73" s="31"/>
      <c r="R73" s="31"/>
      <c r="S73" s="31"/>
      <c r="T73" s="31"/>
    </row>
    <row r="74" customFormat="false" ht="12.75" hidden="false" customHeight="false" outlineLevel="0" collapsed="false">
      <c r="A74" s="31"/>
      <c r="B74" s="31"/>
      <c r="C74" s="31"/>
      <c r="D74" s="31"/>
      <c r="E74" s="31"/>
      <c r="F74" s="31"/>
      <c r="G74" s="31"/>
      <c r="H74" s="31"/>
      <c r="I74" s="31"/>
      <c r="J74" s="31"/>
      <c r="K74" s="31"/>
      <c r="L74" s="31"/>
      <c r="M74" s="31"/>
      <c r="N74" s="31"/>
      <c r="O74" s="31"/>
      <c r="P74" s="31"/>
      <c r="Q74" s="31"/>
      <c r="R74" s="31"/>
      <c r="S74" s="31"/>
      <c r="T74" s="31"/>
    </row>
    <row r="75" customFormat="false" ht="12.75" hidden="false" customHeight="false" outlineLevel="0" collapsed="false">
      <c r="A75" s="31"/>
      <c r="B75" s="31"/>
      <c r="C75" s="31"/>
      <c r="D75" s="31"/>
      <c r="E75" s="31"/>
      <c r="F75" s="31"/>
      <c r="G75" s="31"/>
      <c r="H75" s="31"/>
      <c r="I75" s="31"/>
      <c r="J75" s="31"/>
      <c r="K75" s="31"/>
      <c r="L75" s="31"/>
      <c r="M75" s="31"/>
      <c r="N75" s="31"/>
      <c r="O75" s="31"/>
      <c r="P75" s="31"/>
      <c r="Q75" s="31"/>
      <c r="R75" s="31"/>
      <c r="S75" s="31"/>
      <c r="T75" s="31"/>
    </row>
    <row r="76" customFormat="false" ht="12.75" hidden="false" customHeight="false" outlineLevel="0" collapsed="false">
      <c r="A76" s="31"/>
      <c r="B76" s="31"/>
      <c r="C76" s="31"/>
      <c r="D76" s="31"/>
      <c r="E76" s="31"/>
      <c r="F76" s="31"/>
      <c r="G76" s="31"/>
      <c r="H76" s="31"/>
      <c r="I76" s="31"/>
      <c r="J76" s="31"/>
      <c r="K76" s="31"/>
      <c r="L76" s="31"/>
      <c r="M76" s="31"/>
      <c r="N76" s="31"/>
      <c r="O76" s="31"/>
      <c r="P76" s="31"/>
      <c r="Q76" s="31"/>
      <c r="R76" s="31"/>
      <c r="S76" s="31"/>
      <c r="T76" s="31"/>
    </row>
    <row r="77" customFormat="false" ht="12.75" hidden="false" customHeight="false" outlineLevel="0" collapsed="false">
      <c r="A77" s="31"/>
      <c r="B77" s="31"/>
      <c r="C77" s="31"/>
      <c r="D77" s="31"/>
      <c r="E77" s="31"/>
      <c r="F77" s="31"/>
      <c r="G77" s="31"/>
      <c r="H77" s="31"/>
      <c r="I77" s="31"/>
      <c r="J77" s="31"/>
      <c r="K77" s="31"/>
      <c r="L77" s="31"/>
      <c r="M77" s="31"/>
      <c r="N77" s="31"/>
      <c r="O77" s="31"/>
      <c r="P77" s="31"/>
      <c r="Q77" s="31"/>
      <c r="R77" s="31"/>
      <c r="S77" s="31"/>
      <c r="T77" s="31"/>
    </row>
    <row r="78" customFormat="false" ht="12.75" hidden="false" customHeight="false" outlineLevel="0" collapsed="false">
      <c r="A78" s="31"/>
      <c r="B78" s="31"/>
      <c r="C78" s="31"/>
      <c r="D78" s="31"/>
      <c r="E78" s="31"/>
      <c r="F78" s="31"/>
      <c r="G78" s="31"/>
      <c r="H78" s="31"/>
      <c r="I78" s="31"/>
      <c r="J78" s="31"/>
      <c r="K78" s="31"/>
      <c r="L78" s="31"/>
      <c r="M78" s="31"/>
      <c r="N78" s="31"/>
      <c r="O78" s="31"/>
      <c r="P78" s="31"/>
      <c r="Q78" s="31"/>
      <c r="R78" s="31"/>
      <c r="S78" s="31"/>
      <c r="T78" s="31"/>
    </row>
    <row r="79" customFormat="false" ht="12.75" hidden="false" customHeight="false" outlineLevel="0" collapsed="false">
      <c r="A79" s="31"/>
      <c r="B79" s="31"/>
      <c r="C79" s="31"/>
      <c r="D79" s="31"/>
      <c r="E79" s="31"/>
      <c r="F79" s="31"/>
      <c r="G79" s="31"/>
      <c r="H79" s="31"/>
      <c r="I79" s="31"/>
      <c r="J79" s="31"/>
      <c r="K79" s="31"/>
      <c r="L79" s="31"/>
      <c r="M79" s="31"/>
      <c r="N79" s="31"/>
      <c r="O79" s="31"/>
      <c r="P79" s="31"/>
      <c r="Q79" s="31"/>
      <c r="R79" s="31"/>
      <c r="S79" s="31"/>
      <c r="T79" s="31"/>
    </row>
    <row r="80" customFormat="false" ht="12.75" hidden="false" customHeight="false" outlineLevel="0" collapsed="false">
      <c r="A80" s="31"/>
      <c r="B80" s="31"/>
      <c r="C80" s="31"/>
      <c r="D80" s="31"/>
      <c r="E80" s="31"/>
      <c r="F80" s="31"/>
      <c r="G80" s="31"/>
      <c r="H80" s="31"/>
      <c r="I80" s="31"/>
      <c r="J80" s="31"/>
      <c r="K80" s="31"/>
      <c r="L80" s="31"/>
      <c r="M80" s="31"/>
      <c r="N80" s="31"/>
      <c r="O80" s="31"/>
      <c r="P80" s="31"/>
      <c r="Q80" s="31"/>
      <c r="R80" s="31"/>
      <c r="S80" s="31"/>
      <c r="T80" s="31"/>
    </row>
  </sheetData>
  <mergeCells count="1">
    <mergeCell ref="A1:J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8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1" width="36"/>
    <col collapsed="false" customWidth="true" hidden="false" outlineLevel="0" max="2" min="2" style="2" width="36"/>
    <col collapsed="false" customWidth="true" hidden="false" outlineLevel="0" max="3" min="3" style="2" width="10"/>
    <col collapsed="false" customWidth="true" hidden="false" outlineLevel="0" max="4" min="4" style="2" width="16"/>
    <col collapsed="false" customWidth="true" hidden="false" outlineLevel="0" max="5" min="5" style="2" width="12"/>
    <col collapsed="false" customWidth="true" hidden="false" outlineLevel="0" max="6" min="6" style="2" width="19"/>
    <col collapsed="false" customWidth="true" hidden="false" outlineLevel="0" max="8" min="7" style="2" width="10"/>
  </cols>
  <sheetData>
    <row r="1" customFormat="false" ht="14.25" hidden="false" customHeight="true" outlineLevel="0" collapsed="false">
      <c r="A1" s="3" t="s">
        <v>1631</v>
      </c>
      <c r="B1" s="3"/>
      <c r="C1" s="3"/>
      <c r="D1" s="3"/>
      <c r="E1" s="3"/>
      <c r="F1" s="3"/>
      <c r="G1" s="3"/>
      <c r="H1" s="3"/>
    </row>
    <row r="2" customFormat="false" ht="13.5" hidden="false" customHeight="true" outlineLevel="0" collapsed="false">
      <c r="A2" s="5"/>
      <c r="B2" s="5"/>
      <c r="C2" s="5"/>
      <c r="D2" s="5"/>
      <c r="E2" s="5"/>
      <c r="F2" s="5"/>
      <c r="G2" s="5"/>
      <c r="H2" s="5"/>
    </row>
    <row r="3" customFormat="false" ht="14.25" hidden="false" customHeight="true" outlineLevel="0" collapsed="false">
      <c r="A3" s="7" t="s">
        <v>1517</v>
      </c>
      <c r="B3" s="5" t="s">
        <v>1632</v>
      </c>
      <c r="C3" s="5"/>
      <c r="D3" s="5"/>
      <c r="E3" s="5"/>
      <c r="F3" s="5"/>
      <c r="G3" s="5"/>
      <c r="H3" s="5"/>
    </row>
    <row r="4" customFormat="false" ht="14.25" hidden="false" customHeight="true" outlineLevel="0" collapsed="false">
      <c r="A4" s="7" t="s">
        <v>1633</v>
      </c>
      <c r="B4" s="5" t="s">
        <v>1634</v>
      </c>
      <c r="C4" s="5"/>
      <c r="D4" s="5"/>
      <c r="E4" s="5"/>
      <c r="F4" s="5"/>
      <c r="G4" s="5"/>
      <c r="H4" s="5"/>
    </row>
    <row r="5" customFormat="false" ht="14.25" hidden="false" customHeight="true" outlineLevel="0" collapsed="false">
      <c r="A5" s="7" t="s">
        <v>1635</v>
      </c>
      <c r="B5" s="5" t="s">
        <v>1636</v>
      </c>
      <c r="C5" s="5"/>
      <c r="D5" s="5"/>
      <c r="E5" s="5"/>
      <c r="F5" s="5"/>
      <c r="G5" s="5"/>
      <c r="H5" s="5"/>
    </row>
    <row r="6" customFormat="false" ht="14.25" hidden="false" customHeight="true" outlineLevel="0" collapsed="false">
      <c r="A6" s="79" t="s">
        <v>1637</v>
      </c>
      <c r="B6" s="5" t="s">
        <v>1638</v>
      </c>
      <c r="C6" s="5"/>
      <c r="D6" s="5"/>
      <c r="E6" s="5"/>
      <c r="F6" s="5"/>
      <c r="G6" s="5"/>
      <c r="H6" s="5"/>
    </row>
    <row r="7" customFormat="false" ht="13.5" hidden="false" customHeight="true" outlineLevel="0" collapsed="false">
      <c r="A7" s="5" t="s">
        <v>1639</v>
      </c>
      <c r="B7" s="5" t="s">
        <v>1640</v>
      </c>
      <c r="C7" s="5"/>
      <c r="D7" s="5"/>
      <c r="E7" s="5"/>
      <c r="F7" s="5"/>
      <c r="G7" s="5"/>
      <c r="H7" s="5"/>
    </row>
    <row r="8" customFormat="false" ht="14.25" hidden="false" customHeight="true" outlineLevel="0" collapsed="false">
      <c r="A8" s="23" t="s">
        <v>1641</v>
      </c>
      <c r="B8" s="5"/>
      <c r="C8" s="5"/>
      <c r="D8" s="5"/>
      <c r="E8" s="5"/>
      <c r="F8" s="5"/>
      <c r="G8" s="5"/>
      <c r="H8" s="5"/>
    </row>
    <row r="9" customFormat="false" ht="14.25" hidden="false" customHeight="true" outlineLevel="0" collapsed="false">
      <c r="A9" s="7" t="s">
        <v>1642</v>
      </c>
      <c r="B9" s="5"/>
      <c r="C9" s="5"/>
      <c r="D9" s="5"/>
      <c r="E9" s="5"/>
      <c r="F9" s="5"/>
      <c r="G9" s="5"/>
      <c r="H9" s="5"/>
    </row>
    <row r="10" customFormat="false" ht="14.25" hidden="false" customHeight="true" outlineLevel="0" collapsed="false">
      <c r="A10" s="7" t="s">
        <v>1643</v>
      </c>
      <c r="B10" s="5"/>
      <c r="C10" s="5"/>
      <c r="D10" s="5"/>
      <c r="E10" s="5"/>
      <c r="F10" s="5"/>
      <c r="G10" s="5"/>
      <c r="H10" s="5"/>
    </row>
    <row r="11" customFormat="false" ht="14.25" hidden="false" customHeight="true" outlineLevel="0" collapsed="false">
      <c r="A11" s="7" t="s">
        <v>1644</v>
      </c>
      <c r="B11" s="5"/>
      <c r="C11" s="5"/>
      <c r="D11" s="5"/>
      <c r="E11" s="5"/>
      <c r="F11" s="5"/>
      <c r="G11" s="5"/>
      <c r="H11" s="5"/>
    </row>
    <row r="12" customFormat="false" ht="14.25" hidden="false" customHeight="true" outlineLevel="0" collapsed="false">
      <c r="A12" s="7" t="s">
        <v>1645</v>
      </c>
      <c r="B12" s="5"/>
      <c r="C12" s="5"/>
      <c r="D12" s="5"/>
      <c r="E12" s="5"/>
      <c r="F12" s="5"/>
      <c r="G12" s="5"/>
      <c r="H12" s="5"/>
    </row>
    <row r="13" customFormat="false" ht="14.25" hidden="false" customHeight="true" outlineLevel="0" collapsed="false">
      <c r="A13" s="23" t="s">
        <v>696</v>
      </c>
      <c r="B13" s="23" t="s">
        <v>1646</v>
      </c>
      <c r="C13" s="23" t="s">
        <v>1647</v>
      </c>
      <c r="D13" s="23" t="s">
        <v>1648</v>
      </c>
      <c r="E13" s="37" t="s">
        <v>1649</v>
      </c>
      <c r="F13" s="37" t="s">
        <v>1650</v>
      </c>
      <c r="G13" s="5"/>
      <c r="H13" s="5"/>
    </row>
    <row r="14" customFormat="false" ht="14.25" hidden="false" customHeight="true" outlineLevel="0" collapsed="false">
      <c r="A14" s="7" t="s">
        <v>760</v>
      </c>
      <c r="B14" s="7" t="n">
        <v>0.7</v>
      </c>
      <c r="C14" s="7" t="n">
        <v>0.7</v>
      </c>
      <c r="D14" s="7" t="n">
        <v>0.7</v>
      </c>
      <c r="E14" s="36" t="n">
        <v>1</v>
      </c>
      <c r="F14" s="49" t="n">
        <f aca="false">AVERAGE(B14:E14)</f>
        <v>0.775</v>
      </c>
      <c r="G14" s="5"/>
      <c r="H14" s="5"/>
    </row>
    <row r="15" customFormat="false" ht="14.25" hidden="false" customHeight="true" outlineLevel="0" collapsed="false">
      <c r="A15" s="7" t="s">
        <v>762</v>
      </c>
      <c r="B15" s="7" t="n">
        <v>0.7</v>
      </c>
      <c r="C15" s="7" t="n">
        <v>0.7</v>
      </c>
      <c r="D15" s="7" t="n">
        <v>0.7</v>
      </c>
      <c r="E15" s="36" t="n">
        <v>0.7</v>
      </c>
      <c r="F15" s="49" t="n">
        <f aca="false">AVERAGE(B15:E15)</f>
        <v>0.7</v>
      </c>
      <c r="G15" s="5"/>
      <c r="H15" s="5"/>
    </row>
    <row r="16" customFormat="false" ht="14.25" hidden="false" customHeight="true" outlineLevel="0" collapsed="false">
      <c r="A16" s="7" t="s">
        <v>763</v>
      </c>
      <c r="B16" s="7" t="n">
        <v>0.7</v>
      </c>
      <c r="C16" s="7" t="n">
        <v>0.7</v>
      </c>
      <c r="D16" s="7" t="n">
        <v>0.7</v>
      </c>
      <c r="E16" s="36" t="n">
        <v>0.7</v>
      </c>
      <c r="F16" s="49" t="n">
        <f aca="false">AVERAGE(B16:E16)</f>
        <v>0.7</v>
      </c>
      <c r="G16" s="5"/>
      <c r="H16" s="5"/>
    </row>
    <row r="17" customFormat="false" ht="14.25" hidden="false" customHeight="true" outlineLevel="0" collapsed="false">
      <c r="A17" s="7" t="s">
        <v>764</v>
      </c>
      <c r="B17" s="7" t="n">
        <v>0.7</v>
      </c>
      <c r="C17" s="7" t="n">
        <v>0.7</v>
      </c>
      <c r="D17" s="7" t="n">
        <v>0.7</v>
      </c>
      <c r="E17" s="36" t="n">
        <v>0.7</v>
      </c>
      <c r="F17" s="49" t="n">
        <f aca="false">AVERAGE(B17:E17)</f>
        <v>0.7</v>
      </c>
      <c r="G17" s="5"/>
      <c r="H17" s="5"/>
    </row>
    <row r="18" customFormat="false" ht="14.25" hidden="false" customHeight="true" outlineLevel="0" collapsed="false">
      <c r="A18" s="7" t="s">
        <v>765</v>
      </c>
      <c r="B18" s="7" t="n">
        <v>0.7</v>
      </c>
      <c r="C18" s="7" t="n">
        <v>0.7</v>
      </c>
      <c r="D18" s="7" t="n">
        <v>0.7</v>
      </c>
      <c r="E18" s="36" t="n">
        <v>0.7</v>
      </c>
      <c r="F18" s="49" t="n">
        <f aca="false">AVERAGE(B18:E18)</f>
        <v>0.7</v>
      </c>
      <c r="G18" s="5"/>
      <c r="H18" s="5"/>
    </row>
    <row r="19" customFormat="false" ht="14.25" hidden="false" customHeight="true" outlineLevel="0" collapsed="false">
      <c r="A19" s="7" t="s">
        <v>766</v>
      </c>
      <c r="B19" s="7" t="n">
        <v>0.7</v>
      </c>
      <c r="C19" s="7" t="n">
        <v>0.7</v>
      </c>
      <c r="D19" s="7" t="n">
        <v>0.7</v>
      </c>
      <c r="E19" s="36" t="n">
        <v>0.7</v>
      </c>
      <c r="F19" s="49" t="n">
        <f aca="false">AVERAGE(B19:E19)</f>
        <v>0.7</v>
      </c>
      <c r="G19" s="5"/>
      <c r="H19" s="5"/>
    </row>
    <row r="20" customFormat="false" ht="14.25" hidden="false" customHeight="true" outlineLevel="0" collapsed="false">
      <c r="A20" s="7" t="s">
        <v>768</v>
      </c>
      <c r="B20" s="7" t="n">
        <v>0.7</v>
      </c>
      <c r="C20" s="7" t="n">
        <v>0.7</v>
      </c>
      <c r="D20" s="7" t="n">
        <v>0.7</v>
      </c>
      <c r="E20" s="36" t="n">
        <v>1</v>
      </c>
      <c r="F20" s="49" t="n">
        <f aca="false">AVERAGE(B20:E20)</f>
        <v>0.775</v>
      </c>
      <c r="G20" s="5"/>
      <c r="H20" s="5"/>
    </row>
    <row r="21" customFormat="false" ht="13.5" hidden="false" customHeight="true" outlineLevel="0" collapsed="false">
      <c r="A21" s="5"/>
      <c r="B21" s="5"/>
      <c r="C21" s="5"/>
      <c r="D21" s="5"/>
      <c r="E21" s="5"/>
      <c r="F21" s="5"/>
      <c r="G21" s="5"/>
      <c r="H21" s="5"/>
    </row>
    <row r="22" customFormat="false" ht="14.25" hidden="false" customHeight="true" outlineLevel="0" collapsed="false">
      <c r="A22" s="23" t="s">
        <v>1651</v>
      </c>
      <c r="B22" s="24" t="n">
        <f aca="false">AVERAGE(F14:F20)</f>
        <v>0.721428571428571</v>
      </c>
      <c r="C22" s="5"/>
      <c r="D22" s="5"/>
      <c r="E22" s="5"/>
      <c r="F22" s="5"/>
      <c r="G22" s="5"/>
      <c r="H22" s="5"/>
    </row>
    <row r="23" customFormat="false" ht="24" hidden="false" customHeight="true" outlineLevel="0" collapsed="false">
      <c r="A23" s="7" t="s">
        <v>1652</v>
      </c>
      <c r="B23" s="5"/>
      <c r="C23" s="5"/>
      <c r="D23" s="5"/>
      <c r="E23" s="5"/>
      <c r="F23" s="5"/>
      <c r="G23" s="5"/>
      <c r="H23" s="5"/>
    </row>
    <row r="24" customFormat="false" ht="14.25" hidden="false" customHeight="true" outlineLevel="0" collapsed="false">
      <c r="A24" s="7" t="s">
        <v>1653</v>
      </c>
      <c r="B24" s="5"/>
      <c r="C24" s="5"/>
      <c r="D24" s="5"/>
      <c r="E24" s="5"/>
      <c r="F24" s="5"/>
      <c r="G24" s="5"/>
      <c r="H24" s="5"/>
    </row>
    <row r="25" customFormat="false" ht="13.5" hidden="false" customHeight="true" outlineLevel="0" collapsed="false">
      <c r="A25" s="5"/>
      <c r="B25" s="5"/>
      <c r="C25" s="5"/>
      <c r="D25" s="5"/>
      <c r="E25" s="5"/>
      <c r="F25" s="5"/>
      <c r="G25" s="5"/>
      <c r="H25" s="5"/>
    </row>
    <row r="26" customFormat="false" ht="14.25" hidden="false" customHeight="true" outlineLevel="0" collapsed="false">
      <c r="A26" s="23" t="s">
        <v>1654</v>
      </c>
      <c r="B26" s="5"/>
      <c r="C26" s="5"/>
      <c r="D26" s="5"/>
      <c r="E26" s="5"/>
      <c r="F26" s="5"/>
      <c r="G26" s="5"/>
      <c r="H26" s="5"/>
    </row>
    <row r="27" customFormat="false" ht="14.25" hidden="false" customHeight="true" outlineLevel="0" collapsed="false">
      <c r="A27" s="7" t="s">
        <v>1655</v>
      </c>
      <c r="B27" s="5"/>
      <c r="C27" s="5"/>
      <c r="D27" s="5"/>
      <c r="E27" s="5"/>
      <c r="F27" s="5"/>
      <c r="G27" s="5"/>
      <c r="H27" s="5"/>
    </row>
    <row r="28" customFormat="false" ht="14.25" hidden="false" customHeight="true" outlineLevel="0" collapsed="false">
      <c r="A28" s="26" t="s">
        <v>1656</v>
      </c>
      <c r="B28" s="5"/>
      <c r="C28" s="5"/>
      <c r="D28" s="5"/>
      <c r="E28" s="5"/>
      <c r="F28" s="5"/>
      <c r="G28" s="5"/>
      <c r="H28" s="5"/>
    </row>
    <row r="29" customFormat="false" ht="14.25" hidden="false" customHeight="true" outlineLevel="0" collapsed="false">
      <c r="A29" s="7" t="s">
        <v>1657</v>
      </c>
      <c r="B29" s="5"/>
      <c r="C29" s="5"/>
      <c r="D29" s="5"/>
      <c r="E29" s="5"/>
      <c r="F29" s="5"/>
      <c r="G29" s="5"/>
      <c r="H29" s="5"/>
    </row>
    <row r="30" customFormat="false" ht="14.25" hidden="false" customHeight="true" outlineLevel="0" collapsed="false">
      <c r="A30" s="23" t="s">
        <v>1658</v>
      </c>
      <c r="B30" s="5"/>
      <c r="C30" s="5"/>
      <c r="D30" s="5"/>
      <c r="E30" s="5"/>
      <c r="F30" s="5"/>
      <c r="G30" s="5"/>
      <c r="H30" s="5"/>
    </row>
    <row r="31" customFormat="false" ht="14.25" hidden="false" customHeight="true" outlineLevel="0" collapsed="false">
      <c r="A31" s="79" t="s">
        <v>1659</v>
      </c>
      <c r="B31" s="5"/>
      <c r="C31" s="5"/>
      <c r="D31" s="5"/>
      <c r="E31" s="5"/>
      <c r="F31" s="5"/>
      <c r="G31" s="5"/>
      <c r="H31" s="5"/>
    </row>
    <row r="32" customFormat="false" ht="25.5" hidden="false" customHeight="true" outlineLevel="0" collapsed="false">
      <c r="A32" s="7" t="s">
        <v>1660</v>
      </c>
      <c r="B32" s="5"/>
      <c r="C32" s="5"/>
      <c r="D32" s="5"/>
      <c r="E32" s="5"/>
      <c r="F32" s="5"/>
      <c r="G32" s="5"/>
      <c r="H32" s="5"/>
    </row>
    <row r="33" customFormat="false" ht="12.75" hidden="false" customHeight="false" outlineLevel="0" collapsed="false">
      <c r="A33" s="5"/>
      <c r="B33" s="5"/>
      <c r="C33" s="5"/>
      <c r="D33" s="5"/>
      <c r="E33" s="5"/>
      <c r="F33" s="5"/>
      <c r="G33" s="5"/>
      <c r="H33" s="5"/>
    </row>
    <row r="34" customFormat="false" ht="12.75" hidden="false" customHeight="false" outlineLevel="0" collapsed="false">
      <c r="A34" s="5"/>
      <c r="B34" s="5"/>
      <c r="C34" s="5"/>
      <c r="D34" s="5"/>
      <c r="E34" s="5"/>
      <c r="F34" s="5"/>
      <c r="G34" s="5"/>
      <c r="H34" s="5"/>
    </row>
    <row r="35" customFormat="false" ht="12.75" hidden="false" customHeight="false" outlineLevel="0" collapsed="false">
      <c r="A35" s="5"/>
      <c r="B35" s="5"/>
      <c r="C35" s="5"/>
      <c r="D35" s="5"/>
      <c r="E35" s="5"/>
      <c r="F35" s="5"/>
      <c r="G35" s="5"/>
      <c r="H35" s="5"/>
    </row>
    <row r="36" customFormat="false" ht="12.75" hidden="false" customHeight="false" outlineLevel="0" collapsed="false">
      <c r="A36" s="5"/>
      <c r="B36" s="5"/>
      <c r="C36" s="5"/>
      <c r="D36" s="5"/>
      <c r="E36" s="5"/>
      <c r="F36" s="5"/>
      <c r="G36" s="5"/>
      <c r="H36" s="5"/>
    </row>
    <row r="37" customFormat="false" ht="12.75" hidden="false" customHeight="false" outlineLevel="0" collapsed="false">
      <c r="A37" s="5"/>
      <c r="B37" s="5"/>
      <c r="C37" s="5"/>
      <c r="D37" s="5"/>
      <c r="E37" s="5"/>
      <c r="F37" s="5"/>
      <c r="G37" s="5"/>
      <c r="H37" s="5"/>
    </row>
    <row r="38" customFormat="false" ht="12.75" hidden="false" customHeight="false" outlineLevel="0" collapsed="false">
      <c r="A38" s="5"/>
      <c r="B38" s="5"/>
      <c r="C38" s="5"/>
      <c r="D38" s="5"/>
      <c r="E38" s="5"/>
      <c r="F38" s="5"/>
      <c r="G38" s="5"/>
      <c r="H38" s="5"/>
    </row>
    <row r="39" customFormat="false" ht="12.75" hidden="false" customHeight="false" outlineLevel="0" collapsed="false">
      <c r="A39" s="5"/>
      <c r="B39" s="5"/>
      <c r="C39" s="5"/>
      <c r="D39" s="5"/>
      <c r="E39" s="5"/>
      <c r="F39" s="5"/>
      <c r="G39" s="5"/>
      <c r="H39" s="5"/>
    </row>
    <row r="40" customFormat="false" ht="12.75" hidden="false" customHeight="false" outlineLevel="0" collapsed="false">
      <c r="A40" s="5"/>
      <c r="B40" s="5"/>
      <c r="C40" s="5"/>
      <c r="D40" s="5"/>
      <c r="E40" s="5"/>
      <c r="F40" s="5"/>
      <c r="G40" s="5"/>
      <c r="H40" s="5"/>
    </row>
    <row r="41" customFormat="false" ht="12.75" hidden="false" customHeight="false" outlineLevel="0" collapsed="false">
      <c r="A41" s="5"/>
      <c r="B41" s="5"/>
      <c r="C41" s="5"/>
      <c r="D41" s="5"/>
      <c r="E41" s="5"/>
      <c r="F41" s="5"/>
      <c r="G41" s="5"/>
      <c r="H41" s="5"/>
    </row>
    <row r="42" customFormat="false" ht="12.75" hidden="false" customHeight="false" outlineLevel="0" collapsed="false">
      <c r="A42" s="5"/>
      <c r="B42" s="5"/>
      <c r="C42" s="5"/>
      <c r="D42" s="5"/>
      <c r="E42" s="5"/>
      <c r="F42" s="5"/>
      <c r="G42" s="5"/>
      <c r="H42" s="5"/>
    </row>
    <row r="43" customFormat="false" ht="12.75" hidden="false" customHeight="false" outlineLevel="0" collapsed="false">
      <c r="A43" s="5"/>
      <c r="B43" s="5"/>
      <c r="C43" s="5"/>
      <c r="D43" s="5"/>
      <c r="E43" s="5"/>
      <c r="F43" s="5"/>
      <c r="G43" s="5"/>
      <c r="H43" s="5"/>
    </row>
    <row r="44" customFormat="false" ht="12.75" hidden="false" customHeight="false" outlineLevel="0" collapsed="false">
      <c r="A44" s="5"/>
      <c r="B44" s="5"/>
      <c r="C44" s="5"/>
      <c r="D44" s="5"/>
      <c r="E44" s="5"/>
      <c r="F44" s="5"/>
      <c r="G44" s="5"/>
      <c r="H44" s="5"/>
    </row>
    <row r="45" customFormat="false" ht="12.75" hidden="false" customHeight="false" outlineLevel="0" collapsed="false">
      <c r="A45" s="5"/>
      <c r="B45" s="5"/>
      <c r="C45" s="5"/>
      <c r="D45" s="5"/>
      <c r="E45" s="5"/>
      <c r="F45" s="5"/>
      <c r="G45" s="5"/>
      <c r="H45" s="5"/>
    </row>
    <row r="46" customFormat="false" ht="12.75" hidden="false" customHeight="false" outlineLevel="0" collapsed="false">
      <c r="A46" s="5"/>
      <c r="B46" s="5"/>
      <c r="C46" s="5"/>
      <c r="D46" s="5"/>
      <c r="E46" s="5"/>
      <c r="F46" s="5"/>
      <c r="G46" s="5"/>
      <c r="H46" s="5"/>
    </row>
    <row r="47" customFormat="false" ht="12.75" hidden="false" customHeight="false" outlineLevel="0" collapsed="false">
      <c r="A47" s="5"/>
      <c r="B47" s="5"/>
      <c r="C47" s="5"/>
      <c r="D47" s="5"/>
      <c r="E47" s="5"/>
      <c r="F47" s="5"/>
      <c r="G47" s="5"/>
      <c r="H47" s="5"/>
    </row>
    <row r="48" customFormat="false" ht="12.75" hidden="false" customHeight="false" outlineLevel="0" collapsed="false">
      <c r="A48" s="5"/>
      <c r="B48" s="5"/>
      <c r="C48" s="5"/>
      <c r="D48" s="5"/>
      <c r="E48" s="5"/>
      <c r="F48" s="5"/>
      <c r="G48" s="5"/>
      <c r="H48" s="5"/>
    </row>
    <row r="49" customFormat="false" ht="12.75" hidden="false" customHeight="false" outlineLevel="0" collapsed="false">
      <c r="A49" s="5"/>
      <c r="B49" s="5"/>
      <c r="C49" s="5"/>
      <c r="D49" s="5"/>
      <c r="E49" s="5"/>
      <c r="F49" s="5"/>
      <c r="G49" s="5"/>
      <c r="H49" s="5"/>
    </row>
    <row r="50" customFormat="false" ht="12.75" hidden="false" customHeight="false" outlineLevel="0" collapsed="false">
      <c r="A50" s="5"/>
      <c r="B50" s="5"/>
      <c r="C50" s="5"/>
      <c r="D50" s="5"/>
      <c r="E50" s="5"/>
      <c r="F50" s="5"/>
      <c r="G50" s="5"/>
      <c r="H50" s="5"/>
    </row>
    <row r="51" customFormat="false" ht="12.75" hidden="false" customHeight="false" outlineLevel="0" collapsed="false">
      <c r="A51" s="5"/>
      <c r="B51" s="5"/>
      <c r="C51" s="5"/>
      <c r="D51" s="5"/>
      <c r="E51" s="5"/>
      <c r="F51" s="5"/>
      <c r="G51" s="5"/>
      <c r="H51" s="5"/>
    </row>
    <row r="52" customFormat="false" ht="12.75" hidden="false" customHeight="false" outlineLevel="0" collapsed="false">
      <c r="A52" s="5"/>
      <c r="B52" s="5"/>
      <c r="C52" s="5"/>
      <c r="D52" s="5"/>
      <c r="E52" s="5"/>
      <c r="F52" s="5"/>
      <c r="G52" s="5"/>
      <c r="H52" s="5"/>
    </row>
    <row r="53" customFormat="false" ht="12.75" hidden="false" customHeight="false" outlineLevel="0" collapsed="false">
      <c r="A53" s="5"/>
      <c r="B53" s="5"/>
      <c r="C53" s="5"/>
      <c r="D53" s="5"/>
      <c r="E53" s="5"/>
      <c r="F53" s="5"/>
      <c r="G53" s="5"/>
      <c r="H53" s="5"/>
    </row>
    <row r="54" customFormat="false" ht="12.75" hidden="false" customHeight="false" outlineLevel="0" collapsed="false">
      <c r="A54" s="5"/>
      <c r="B54" s="5"/>
      <c r="C54" s="5"/>
      <c r="D54" s="5"/>
      <c r="E54" s="5"/>
      <c r="F54" s="5"/>
      <c r="G54" s="5"/>
      <c r="H54" s="5"/>
    </row>
    <row r="55" customFormat="false" ht="12.75" hidden="false" customHeight="false" outlineLevel="0" collapsed="false">
      <c r="A55" s="5"/>
      <c r="B55" s="5"/>
      <c r="C55" s="5"/>
      <c r="D55" s="5"/>
      <c r="E55" s="5"/>
      <c r="F55" s="5"/>
      <c r="G55" s="5"/>
      <c r="H55" s="5"/>
    </row>
    <row r="56" customFormat="false" ht="12.75" hidden="false" customHeight="false" outlineLevel="0" collapsed="false">
      <c r="A56" s="5"/>
      <c r="B56" s="5"/>
      <c r="C56" s="5"/>
      <c r="D56" s="5"/>
      <c r="E56" s="5"/>
      <c r="F56" s="5"/>
      <c r="G56" s="5"/>
      <c r="H56" s="5"/>
    </row>
    <row r="57" customFormat="false" ht="12.75" hidden="false" customHeight="false" outlineLevel="0" collapsed="false">
      <c r="A57" s="5"/>
      <c r="B57" s="5"/>
      <c r="C57" s="5"/>
      <c r="D57" s="5"/>
      <c r="E57" s="5"/>
      <c r="F57" s="5"/>
      <c r="G57" s="5"/>
      <c r="H57" s="5"/>
    </row>
    <row r="58" customFormat="false" ht="12.75" hidden="false" customHeight="false" outlineLevel="0" collapsed="false">
      <c r="A58" s="5"/>
      <c r="B58" s="5"/>
      <c r="C58" s="5"/>
      <c r="D58" s="5"/>
      <c r="E58" s="5"/>
      <c r="F58" s="5"/>
      <c r="G58" s="5"/>
      <c r="H58" s="5"/>
    </row>
    <row r="59" customFormat="false" ht="12.75" hidden="false" customHeight="false" outlineLevel="0" collapsed="false">
      <c r="A59" s="5"/>
      <c r="B59" s="5"/>
      <c r="C59" s="5"/>
      <c r="D59" s="5"/>
      <c r="E59" s="5"/>
      <c r="F59" s="5"/>
      <c r="G59" s="5"/>
      <c r="H59" s="5"/>
    </row>
    <row r="60" customFormat="false" ht="12.75" hidden="false" customHeight="false" outlineLevel="0" collapsed="false">
      <c r="A60" s="5"/>
      <c r="B60" s="5"/>
      <c r="C60" s="5"/>
      <c r="D60" s="5"/>
      <c r="E60" s="5"/>
      <c r="F60" s="5"/>
      <c r="G60" s="5"/>
      <c r="H60" s="5"/>
    </row>
    <row r="61" customFormat="false" ht="12.75" hidden="false" customHeight="false" outlineLevel="0" collapsed="false">
      <c r="A61" s="5"/>
      <c r="B61" s="5"/>
      <c r="C61" s="5"/>
      <c r="D61" s="5"/>
      <c r="E61" s="5"/>
      <c r="F61" s="5"/>
      <c r="G61" s="5"/>
      <c r="H61" s="5"/>
    </row>
    <row r="62" customFormat="false" ht="12.75" hidden="false" customHeight="false" outlineLevel="0" collapsed="false">
      <c r="A62" s="5"/>
      <c r="B62" s="5"/>
      <c r="C62" s="5"/>
      <c r="D62" s="5"/>
      <c r="E62" s="5"/>
      <c r="F62" s="5"/>
      <c r="G62" s="5"/>
      <c r="H62" s="5"/>
    </row>
    <row r="63" customFormat="false" ht="12.75" hidden="false" customHeight="false" outlineLevel="0" collapsed="false">
      <c r="A63" s="5"/>
      <c r="B63" s="5"/>
      <c r="C63" s="5"/>
      <c r="D63" s="5"/>
      <c r="E63" s="5"/>
      <c r="F63" s="5"/>
      <c r="G63" s="5"/>
      <c r="H63" s="5"/>
    </row>
    <row r="64" customFormat="false" ht="12.75" hidden="false" customHeight="false" outlineLevel="0" collapsed="false">
      <c r="A64" s="5"/>
      <c r="B64" s="5"/>
      <c r="C64" s="5"/>
      <c r="D64" s="5"/>
      <c r="E64" s="5"/>
      <c r="F64" s="5"/>
      <c r="G64" s="5"/>
      <c r="H64" s="5"/>
    </row>
    <row r="65" customFormat="false" ht="12.75" hidden="false" customHeight="false" outlineLevel="0" collapsed="false">
      <c r="A65" s="5"/>
      <c r="B65" s="5"/>
      <c r="C65" s="5"/>
      <c r="D65" s="5"/>
      <c r="E65" s="5"/>
      <c r="F65" s="5"/>
      <c r="G65" s="5"/>
      <c r="H65" s="5"/>
    </row>
    <row r="66" customFormat="false" ht="12.75" hidden="false" customHeight="false" outlineLevel="0" collapsed="false">
      <c r="A66" s="5"/>
      <c r="B66" s="5"/>
      <c r="C66" s="5"/>
      <c r="D66" s="5"/>
      <c r="E66" s="5"/>
      <c r="F66" s="5"/>
      <c r="G66" s="5"/>
      <c r="H66" s="5"/>
    </row>
    <row r="67" customFormat="false" ht="12.75" hidden="false" customHeight="false" outlineLevel="0" collapsed="false">
      <c r="A67" s="5"/>
      <c r="B67" s="5"/>
      <c r="C67" s="5"/>
      <c r="D67" s="5"/>
      <c r="E67" s="5"/>
      <c r="F67" s="5"/>
      <c r="G67" s="5"/>
      <c r="H67" s="5"/>
    </row>
    <row r="68" customFormat="false" ht="12.75" hidden="false" customHeight="false" outlineLevel="0" collapsed="false">
      <c r="A68" s="5"/>
      <c r="B68" s="5"/>
      <c r="C68" s="5"/>
      <c r="D68" s="5"/>
      <c r="E68" s="5"/>
      <c r="F68" s="5"/>
      <c r="G68" s="5"/>
      <c r="H68" s="5"/>
    </row>
    <row r="69" customFormat="false" ht="12.75" hidden="false" customHeight="false" outlineLevel="0" collapsed="false">
      <c r="A69" s="5"/>
      <c r="B69" s="5"/>
      <c r="C69" s="5"/>
      <c r="D69" s="5"/>
      <c r="E69" s="5"/>
      <c r="F69" s="5"/>
      <c r="G69" s="5"/>
      <c r="H69" s="5"/>
    </row>
    <row r="70" customFormat="false" ht="12.75" hidden="false" customHeight="false" outlineLevel="0" collapsed="false">
      <c r="A70" s="5"/>
      <c r="B70" s="5"/>
      <c r="C70" s="5"/>
      <c r="D70" s="5"/>
      <c r="E70" s="5"/>
      <c r="F70" s="5"/>
      <c r="G70" s="5"/>
      <c r="H70" s="5"/>
    </row>
    <row r="71" customFormat="false" ht="12.75" hidden="false" customHeight="false" outlineLevel="0" collapsed="false">
      <c r="A71" s="5"/>
      <c r="B71" s="5"/>
      <c r="C71" s="5"/>
      <c r="D71" s="5"/>
      <c r="E71" s="5"/>
      <c r="F71" s="5"/>
      <c r="G71" s="5"/>
      <c r="H71" s="5"/>
    </row>
    <row r="72" customFormat="false" ht="12.75" hidden="false" customHeight="false" outlineLevel="0" collapsed="false">
      <c r="A72" s="5"/>
      <c r="B72" s="5"/>
      <c r="C72" s="5"/>
      <c r="D72" s="5"/>
      <c r="E72" s="5"/>
      <c r="F72" s="5"/>
      <c r="G72" s="5"/>
      <c r="H72" s="5"/>
    </row>
    <row r="73" customFormat="false" ht="12.75" hidden="false" customHeight="false" outlineLevel="0" collapsed="false">
      <c r="A73" s="5"/>
      <c r="B73" s="5"/>
      <c r="C73" s="5"/>
      <c r="D73" s="5"/>
      <c r="E73" s="5"/>
      <c r="F73" s="5"/>
      <c r="G73" s="5"/>
      <c r="H73" s="5"/>
    </row>
    <row r="74" customFormat="false" ht="12.75" hidden="false" customHeight="false" outlineLevel="0" collapsed="false">
      <c r="A74" s="5"/>
      <c r="B74" s="5"/>
      <c r="C74" s="5"/>
      <c r="D74" s="5"/>
      <c r="E74" s="5"/>
      <c r="F74" s="5"/>
      <c r="G74" s="5"/>
      <c r="H74" s="5"/>
    </row>
    <row r="75" customFormat="false" ht="12.75" hidden="false" customHeight="false" outlineLevel="0" collapsed="false">
      <c r="A75" s="5"/>
      <c r="B75" s="5"/>
      <c r="C75" s="5"/>
      <c r="D75" s="5"/>
      <c r="E75" s="5"/>
      <c r="F75" s="5"/>
      <c r="G75" s="5"/>
      <c r="H75" s="5"/>
    </row>
    <row r="76" customFormat="false" ht="12.75" hidden="false" customHeight="false" outlineLevel="0" collapsed="false">
      <c r="A76" s="5"/>
      <c r="B76" s="5"/>
      <c r="C76" s="5"/>
      <c r="D76" s="5"/>
      <c r="E76" s="5"/>
      <c r="F76" s="5"/>
      <c r="G76" s="5"/>
      <c r="H76" s="5"/>
    </row>
    <row r="77" customFormat="false" ht="12.75" hidden="false" customHeight="false" outlineLevel="0" collapsed="false">
      <c r="A77" s="5"/>
      <c r="B77" s="5"/>
      <c r="C77" s="5"/>
      <c r="D77" s="5"/>
      <c r="E77" s="5"/>
      <c r="F77" s="5"/>
      <c r="G77" s="5"/>
      <c r="H77" s="5"/>
    </row>
    <row r="78" customFormat="false" ht="12.75" hidden="false" customHeight="false" outlineLevel="0" collapsed="false">
      <c r="A78" s="5"/>
      <c r="B78" s="5"/>
      <c r="C78" s="5"/>
      <c r="D78" s="5"/>
      <c r="E78" s="5"/>
      <c r="F78" s="5"/>
      <c r="G78" s="5"/>
      <c r="H78" s="5"/>
    </row>
    <row r="79" customFormat="false" ht="12.75" hidden="false" customHeight="false" outlineLevel="0" collapsed="false">
      <c r="A79" s="5"/>
      <c r="B79" s="5"/>
      <c r="C79" s="5"/>
      <c r="D79" s="5"/>
      <c r="E79" s="5"/>
      <c r="F79" s="5"/>
      <c r="G79" s="5"/>
      <c r="H79" s="5"/>
    </row>
    <row r="80" customFormat="false" ht="12.75" hidden="false" customHeight="false" outlineLevel="0" collapsed="false">
      <c r="A80" s="5"/>
      <c r="B80" s="5"/>
      <c r="C80" s="5"/>
      <c r="D80" s="5"/>
      <c r="E80" s="5"/>
      <c r="F80" s="5"/>
      <c r="G80" s="5"/>
      <c r="H80" s="5"/>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4.25" customHeight="true" zeroHeight="false" outlineLevelRow="0" outlineLevelCol="0"/>
  <cols>
    <col collapsed="false" customWidth="true" hidden="false" outlineLevel="0" max="2" min="1" style="20" width="36"/>
    <col collapsed="false" customWidth="true" hidden="false" outlineLevel="0" max="3" min="3" style="1" width="36"/>
    <col collapsed="false" customWidth="true" hidden="false" outlineLevel="0" max="4" min="4" style="1" width="20"/>
    <col collapsed="false" customWidth="true" hidden="false" outlineLevel="0" max="5" min="5" style="1" width="36"/>
    <col collapsed="false" customWidth="true" hidden="false" outlineLevel="0" max="8" min="6" style="2" width="10"/>
    <col collapsed="false" customWidth="true" hidden="false" outlineLevel="0" max="10" min="9" style="1" width="36"/>
    <col collapsed="false" customWidth="true" hidden="false" outlineLevel="0" max="12" min="11" style="2" width="10"/>
  </cols>
  <sheetData>
    <row r="1" customFormat="false" ht="33" hidden="false" customHeight="true" outlineLevel="0" collapsed="false">
      <c r="A1" s="3" t="s">
        <v>1661</v>
      </c>
      <c r="B1" s="3"/>
      <c r="C1" s="3"/>
      <c r="D1" s="3"/>
      <c r="E1" s="3"/>
      <c r="F1" s="3"/>
      <c r="G1" s="3"/>
      <c r="H1" s="3"/>
      <c r="I1" s="3"/>
      <c r="J1" s="3"/>
      <c r="K1" s="3"/>
      <c r="L1" s="3"/>
      <c r="M1" s="3"/>
      <c r="N1" s="3"/>
      <c r="O1" s="3"/>
      <c r="P1" s="3"/>
      <c r="Q1" s="3"/>
      <c r="R1" s="3"/>
      <c r="S1" s="3"/>
      <c r="T1" s="3"/>
      <c r="U1" s="3"/>
      <c r="V1" s="3"/>
      <c r="W1" s="3"/>
      <c r="X1" s="3"/>
      <c r="Y1" s="3"/>
      <c r="Z1" s="3"/>
    </row>
    <row r="2" customFormat="false" ht="14.25" hidden="false" customHeight="true" outlineLevel="0" collapsed="false">
      <c r="A2" s="7" t="s">
        <v>1662</v>
      </c>
      <c r="B2" s="7" t="s">
        <v>1663</v>
      </c>
      <c r="C2" s="5"/>
      <c r="D2" s="5"/>
      <c r="E2" s="5"/>
      <c r="F2" s="5"/>
      <c r="G2" s="5"/>
      <c r="H2" s="5"/>
      <c r="I2" s="5" t="s">
        <v>1664</v>
      </c>
      <c r="J2" s="5" t="s">
        <v>15</v>
      </c>
      <c r="K2" s="5"/>
      <c r="L2" s="5"/>
      <c r="M2" s="5"/>
      <c r="N2" s="5"/>
      <c r="O2" s="5"/>
      <c r="P2" s="5"/>
      <c r="Q2" s="5"/>
      <c r="R2" s="5"/>
      <c r="S2" s="5"/>
      <c r="T2" s="5"/>
      <c r="U2" s="5"/>
      <c r="V2" s="5"/>
      <c r="W2" s="5"/>
      <c r="X2" s="5"/>
      <c r="Y2" s="5"/>
      <c r="Z2" s="5"/>
    </row>
    <row r="3" customFormat="false" ht="24" hidden="false" customHeight="true" outlineLevel="0" collapsed="false">
      <c r="A3" s="23"/>
      <c r="B3" s="5"/>
      <c r="C3" s="5"/>
      <c r="D3" s="5"/>
      <c r="E3" s="5"/>
      <c r="F3" s="5"/>
      <c r="G3" s="5"/>
      <c r="H3" s="5"/>
      <c r="I3" s="5" t="s">
        <v>1665</v>
      </c>
      <c r="J3" s="5" t="s">
        <v>146</v>
      </c>
      <c r="K3" s="5"/>
      <c r="L3" s="5"/>
      <c r="M3" s="5"/>
      <c r="N3" s="5"/>
      <c r="O3" s="5"/>
      <c r="P3" s="5"/>
      <c r="Q3" s="5"/>
      <c r="R3" s="5"/>
      <c r="S3" s="5"/>
      <c r="T3" s="5"/>
      <c r="U3" s="5"/>
      <c r="V3" s="5"/>
      <c r="W3" s="5"/>
      <c r="X3" s="5"/>
      <c r="Y3" s="5"/>
      <c r="Z3" s="5"/>
    </row>
    <row r="4" customFormat="false" ht="52.5" hidden="false" customHeight="true" outlineLevel="0" collapsed="false">
      <c r="A4" s="64" t="s">
        <v>1666</v>
      </c>
      <c r="B4" s="85" t="s">
        <v>1667</v>
      </c>
      <c r="C4" s="5"/>
      <c r="D4" s="5"/>
      <c r="E4" s="5"/>
      <c r="F4" s="5"/>
      <c r="G4" s="5"/>
      <c r="H4" s="5"/>
      <c r="I4" s="5" t="s">
        <v>1668</v>
      </c>
      <c r="J4" s="5" t="s">
        <v>1669</v>
      </c>
      <c r="K4" s="5"/>
      <c r="L4" s="5"/>
      <c r="M4" s="5"/>
      <c r="N4" s="5"/>
      <c r="O4" s="5"/>
      <c r="P4" s="5"/>
      <c r="Q4" s="5"/>
      <c r="R4" s="5"/>
      <c r="S4" s="5"/>
      <c r="T4" s="5"/>
      <c r="U4" s="5"/>
      <c r="V4" s="5"/>
      <c r="W4" s="5"/>
      <c r="X4" s="5"/>
      <c r="Y4" s="5"/>
      <c r="Z4" s="5"/>
    </row>
    <row r="5" customFormat="false" ht="14.25" hidden="false" customHeight="true" outlineLevel="0" collapsed="false">
      <c r="A5" s="5"/>
      <c r="B5" s="5"/>
      <c r="C5" s="5"/>
      <c r="D5" s="5"/>
      <c r="E5" s="5"/>
      <c r="F5" s="5"/>
      <c r="G5" s="5"/>
      <c r="H5" s="5"/>
      <c r="I5" s="5" t="s">
        <v>1670</v>
      </c>
      <c r="J5" s="5" t="n">
        <v>0</v>
      </c>
      <c r="K5" s="5"/>
      <c r="L5" s="5"/>
      <c r="M5" s="5"/>
      <c r="N5" s="5"/>
      <c r="O5" s="5"/>
      <c r="P5" s="5"/>
      <c r="Q5" s="5"/>
      <c r="R5" s="5"/>
      <c r="S5" s="5"/>
      <c r="T5" s="5"/>
      <c r="U5" s="5"/>
      <c r="V5" s="5"/>
      <c r="W5" s="5"/>
      <c r="X5" s="5"/>
      <c r="Y5" s="5"/>
      <c r="Z5" s="5"/>
    </row>
    <row r="6" customFormat="false" ht="14.25" hidden="false" customHeight="true" outlineLevel="0" collapsed="false">
      <c r="A6" s="23" t="s">
        <v>1671</v>
      </c>
      <c r="B6" s="5"/>
      <c r="C6" s="5"/>
      <c r="D6" s="5"/>
      <c r="E6" s="5"/>
      <c r="F6" s="5"/>
      <c r="G6" s="5"/>
      <c r="H6" s="5"/>
      <c r="I6" s="5" t="s">
        <v>1672</v>
      </c>
      <c r="J6" s="5" t="n">
        <v>0</v>
      </c>
      <c r="K6" s="5"/>
      <c r="L6" s="5"/>
      <c r="M6" s="5"/>
      <c r="N6" s="5"/>
      <c r="O6" s="5"/>
      <c r="P6" s="5"/>
      <c r="Q6" s="5"/>
      <c r="R6" s="5"/>
      <c r="S6" s="5"/>
      <c r="T6" s="5"/>
      <c r="U6" s="5"/>
      <c r="V6" s="5"/>
      <c r="W6" s="5"/>
      <c r="X6" s="5"/>
      <c r="Y6" s="5"/>
      <c r="Z6" s="5"/>
    </row>
    <row r="7" customFormat="false" ht="14.25" hidden="false" customHeight="true" outlineLevel="0" collapsed="false">
      <c r="A7" s="7" t="s">
        <v>1673</v>
      </c>
      <c r="B7" s="7" t="str">
        <f aca="false">PCC!B5</f>
        <v>Remote Work Policy Implementation</v>
      </c>
      <c r="C7" s="5"/>
      <c r="D7" s="5"/>
      <c r="E7" s="5"/>
      <c r="F7" s="5"/>
      <c r="G7" s="5"/>
      <c r="H7" s="5"/>
      <c r="I7" s="5" t="s">
        <v>1674</v>
      </c>
      <c r="J7" s="5" t="n">
        <v>0</v>
      </c>
      <c r="K7" s="5"/>
      <c r="L7" s="5"/>
      <c r="M7" s="5"/>
      <c r="N7" s="5"/>
      <c r="O7" s="5"/>
      <c r="P7" s="5"/>
      <c r="Q7" s="5"/>
      <c r="R7" s="5"/>
      <c r="S7" s="5"/>
      <c r="T7" s="5"/>
      <c r="U7" s="5"/>
      <c r="V7" s="5"/>
      <c r="W7" s="5"/>
      <c r="X7" s="5"/>
      <c r="Y7" s="5"/>
      <c r="Z7" s="5"/>
    </row>
    <row r="8" customFormat="false" ht="14.25" hidden="false" customHeight="true" outlineLevel="0" collapsed="false">
      <c r="A8" s="7" t="s">
        <v>1675</v>
      </c>
      <c r="B8" s="7" t="str">
        <f aca="false">PCC!B6</f>
        <v>2026-02-01</v>
      </c>
      <c r="C8" s="5"/>
      <c r="D8" s="5"/>
      <c r="E8" s="5"/>
      <c r="F8" s="5"/>
      <c r="G8" s="5"/>
      <c r="H8" s="5"/>
      <c r="I8" s="5" t="s">
        <v>1676</v>
      </c>
      <c r="J8" s="5" t="n">
        <v>1</v>
      </c>
      <c r="K8" s="5"/>
      <c r="L8" s="5"/>
      <c r="M8" s="5"/>
      <c r="N8" s="5"/>
      <c r="O8" s="5"/>
      <c r="P8" s="5"/>
      <c r="Q8" s="5"/>
      <c r="R8" s="5"/>
      <c r="S8" s="5"/>
      <c r="T8" s="5"/>
      <c r="U8" s="5"/>
      <c r="V8" s="5"/>
      <c r="W8" s="5"/>
      <c r="X8" s="5"/>
      <c r="Y8" s="5"/>
      <c r="Z8" s="5"/>
    </row>
    <row r="9" customFormat="false" ht="14.25" hidden="false" customHeight="true" outlineLevel="0" collapsed="false">
      <c r="A9" s="7" t="s">
        <v>1677</v>
      </c>
      <c r="B9" s="7" t="str">
        <f aca="false">CANON!B10&amp;" ("&amp;IF(CANON!B10=1,"Personal",IF(CANON!B10=2,"Core","High-Stakes"))&amp;")"</f>
        <v>2 (Core)</v>
      </c>
      <c r="C9" s="5"/>
      <c r="D9" s="5"/>
      <c r="E9" s="5"/>
      <c r="F9" s="5"/>
      <c r="G9" s="5"/>
      <c r="H9" s="5"/>
      <c r="I9" s="5"/>
      <c r="J9" s="5"/>
      <c r="K9" s="5"/>
      <c r="L9" s="5"/>
      <c r="M9" s="5"/>
      <c r="N9" s="5"/>
      <c r="O9" s="5"/>
      <c r="P9" s="5"/>
      <c r="Q9" s="5"/>
      <c r="R9" s="5"/>
      <c r="S9" s="5"/>
      <c r="T9" s="5"/>
      <c r="U9" s="5"/>
      <c r="V9" s="5"/>
      <c r="W9" s="5"/>
      <c r="X9" s="5"/>
      <c r="Y9" s="5"/>
      <c r="Z9" s="5"/>
    </row>
    <row r="10" customFormat="false" ht="14.25" hidden="false" customHeight="true" outlineLevel="0" collapsed="false">
      <c r="A10" s="7" t="s">
        <v>1495</v>
      </c>
      <c r="B10" s="79" t="str">
        <f aca="false">CANON!B11</f>
        <v>ORG</v>
      </c>
      <c r="C10" s="5"/>
      <c r="D10" s="5"/>
      <c r="E10" s="5"/>
      <c r="F10" s="5"/>
      <c r="G10" s="5"/>
      <c r="H10" s="5"/>
      <c r="I10" s="5"/>
      <c r="J10" s="5"/>
      <c r="K10" s="5"/>
      <c r="L10" s="5"/>
      <c r="M10" s="5"/>
      <c r="N10" s="5"/>
      <c r="O10" s="5"/>
      <c r="P10" s="5"/>
      <c r="Q10" s="5"/>
      <c r="R10" s="5"/>
      <c r="S10" s="5"/>
      <c r="T10" s="5"/>
      <c r="U10" s="5"/>
      <c r="V10" s="5"/>
      <c r="W10" s="5"/>
      <c r="X10" s="5"/>
      <c r="Y10" s="5"/>
      <c r="Z10" s="5"/>
    </row>
    <row r="11" customFormat="false" ht="14.25" hidden="false" customHeight="true" outlineLevel="0" collapsed="false">
      <c r="A11" s="7" t="s">
        <v>618</v>
      </c>
      <c r="B11" s="7" t="str">
        <f aca="false">CANON!B12</f>
        <v>NO</v>
      </c>
      <c r="C11" s="5"/>
      <c r="D11" s="5"/>
      <c r="E11" s="5"/>
      <c r="F11" s="5"/>
      <c r="G11" s="5"/>
      <c r="H11" s="5"/>
      <c r="I11" s="5"/>
      <c r="J11" s="5"/>
      <c r="K11" s="5"/>
      <c r="L11" s="5"/>
      <c r="M11" s="5"/>
      <c r="N11" s="5"/>
      <c r="O11" s="5"/>
      <c r="P11" s="5"/>
      <c r="Q11" s="5"/>
      <c r="R11" s="5"/>
      <c r="S11" s="5"/>
      <c r="T11" s="5"/>
      <c r="U11" s="5"/>
      <c r="V11" s="5"/>
      <c r="W11" s="5"/>
      <c r="X11" s="5"/>
      <c r="Y11" s="5"/>
      <c r="Z11" s="5"/>
    </row>
    <row r="12" customFormat="false" ht="14.25" hidden="false" customHeight="true" outlineLevel="0" collapsed="false">
      <c r="A12" s="23" t="s">
        <v>1678</v>
      </c>
      <c r="B12" s="34" t="str">
        <f aca="false">IF(CANON!B13=1,"YES","NO")</f>
        <v>YES</v>
      </c>
      <c r="C12" s="5"/>
      <c r="D12" s="5"/>
      <c r="E12" s="5"/>
      <c r="F12" s="5"/>
      <c r="G12" s="5"/>
      <c r="H12" s="5"/>
      <c r="I12" s="5"/>
      <c r="J12" s="5"/>
      <c r="K12" s="5"/>
      <c r="L12" s="5"/>
      <c r="M12" s="5"/>
      <c r="N12" s="5"/>
      <c r="O12" s="5"/>
      <c r="P12" s="5"/>
      <c r="Q12" s="5"/>
      <c r="R12" s="5"/>
      <c r="S12" s="5"/>
      <c r="T12" s="5"/>
      <c r="U12" s="5"/>
      <c r="V12" s="5"/>
      <c r="W12" s="5"/>
      <c r="X12" s="5"/>
      <c r="Y12" s="5"/>
      <c r="Z12" s="5"/>
    </row>
    <row r="13" customFormat="false" ht="14.25" hidden="false" customHeight="true" outlineLevel="0" collapsed="false">
      <c r="A13" s="23"/>
      <c r="B13" s="23"/>
      <c r="C13" s="23"/>
      <c r="D13" s="86"/>
      <c r="E13" s="23"/>
      <c r="F13" s="5"/>
      <c r="G13" s="5"/>
      <c r="H13" s="5"/>
      <c r="I13" s="5"/>
      <c r="J13" s="5"/>
      <c r="K13" s="5"/>
      <c r="L13" s="5"/>
      <c r="M13" s="5"/>
      <c r="N13" s="5"/>
      <c r="O13" s="5"/>
      <c r="P13" s="5"/>
      <c r="Q13" s="5"/>
      <c r="R13" s="5"/>
      <c r="S13" s="5"/>
      <c r="T13" s="5"/>
      <c r="U13" s="5"/>
      <c r="V13" s="5"/>
      <c r="W13" s="5"/>
      <c r="X13" s="5"/>
      <c r="Y13" s="5"/>
      <c r="Z13" s="5"/>
    </row>
    <row r="14" customFormat="false" ht="14.25" hidden="false" customHeight="true" outlineLevel="0" collapsed="false">
      <c r="A14" s="87" t="s">
        <v>1679</v>
      </c>
      <c r="B14" s="13"/>
      <c r="C14" s="13"/>
      <c r="D14" s="13"/>
      <c r="E14" s="5"/>
      <c r="F14" s="5"/>
      <c r="G14" s="5"/>
      <c r="H14" s="5"/>
      <c r="I14" s="5"/>
      <c r="J14" s="5"/>
      <c r="K14" s="5"/>
      <c r="L14" s="5"/>
      <c r="M14" s="5"/>
      <c r="N14" s="5"/>
      <c r="O14" s="5"/>
      <c r="P14" s="5"/>
      <c r="Q14" s="5"/>
      <c r="R14" s="5"/>
      <c r="S14" s="5"/>
      <c r="T14" s="5"/>
      <c r="U14" s="5"/>
      <c r="V14" s="5"/>
      <c r="W14" s="5"/>
      <c r="X14" s="5"/>
      <c r="Y14" s="5"/>
      <c r="Z14" s="5"/>
    </row>
    <row r="15" customFormat="false" ht="14.25" hidden="false" customHeight="true" outlineLevel="0" collapsed="false">
      <c r="A15" s="87" t="s">
        <v>1680</v>
      </c>
      <c r="B15" s="87" t="s">
        <v>1681</v>
      </c>
      <c r="C15" s="87" t="s">
        <v>1682</v>
      </c>
      <c r="D15" s="87" t="s">
        <v>1683</v>
      </c>
      <c r="E15" s="88" t="s">
        <v>1684</v>
      </c>
      <c r="F15" s="5"/>
      <c r="G15" s="5"/>
      <c r="H15" s="5"/>
      <c r="I15" s="5"/>
      <c r="J15" s="5"/>
      <c r="K15" s="5"/>
      <c r="L15" s="5"/>
      <c r="M15" s="5"/>
      <c r="N15" s="5"/>
      <c r="O15" s="5"/>
      <c r="P15" s="5"/>
      <c r="Q15" s="5"/>
      <c r="R15" s="5"/>
      <c r="S15" s="5"/>
      <c r="T15" s="5"/>
      <c r="U15" s="5"/>
      <c r="V15" s="5"/>
      <c r="W15" s="5"/>
      <c r="X15" s="5"/>
      <c r="Y15" s="5"/>
      <c r="Z15" s="5"/>
    </row>
    <row r="16" customFormat="false" ht="26.25" hidden="false" customHeight="true" outlineLevel="0" collapsed="false">
      <c r="A16" s="7" t="s">
        <v>1685</v>
      </c>
      <c r="B16" s="7" t="s">
        <v>1686</v>
      </c>
      <c r="C16" s="7"/>
      <c r="D16" s="7"/>
      <c r="E16" s="79" t="s">
        <v>1687</v>
      </c>
      <c r="F16" s="5"/>
      <c r="G16" s="5"/>
      <c r="H16" s="5"/>
      <c r="I16" s="5"/>
      <c r="J16" s="5"/>
      <c r="K16" s="5"/>
      <c r="L16" s="5"/>
      <c r="M16" s="5"/>
      <c r="N16" s="5"/>
      <c r="O16" s="5"/>
      <c r="P16" s="5"/>
      <c r="Q16" s="5"/>
      <c r="R16" s="5"/>
      <c r="S16" s="5"/>
      <c r="T16" s="5"/>
      <c r="U16" s="5"/>
      <c r="V16" s="5"/>
      <c r="W16" s="5"/>
      <c r="X16" s="5"/>
      <c r="Y16" s="5"/>
      <c r="Z16" s="5"/>
    </row>
    <row r="17" customFormat="false" ht="14.25" hidden="false" customHeight="true" outlineLevel="0" collapsed="false">
      <c r="A17" s="7" t="s">
        <v>1688</v>
      </c>
      <c r="B17" s="7" t="s">
        <v>1689</v>
      </c>
      <c r="C17" s="34"/>
      <c r="D17" s="34"/>
      <c r="E17" s="79" t="str">
        <f aca="false">IF(AND(CANON!B56="PASS",CANON!B57="PASS"),"Both Pass",IF(CANON!B56="PASS","A only",IF(CANON!B57="PASS","B only","Neither")))</f>
        <v>Both Pass</v>
      </c>
      <c r="F17" s="5"/>
      <c r="G17" s="5"/>
      <c r="H17" s="5"/>
      <c r="I17" s="5"/>
      <c r="J17" s="5"/>
      <c r="K17" s="5"/>
      <c r="L17" s="5"/>
      <c r="M17" s="5"/>
      <c r="N17" s="5"/>
      <c r="O17" s="5"/>
      <c r="P17" s="5"/>
      <c r="Q17" s="5"/>
      <c r="R17" s="5"/>
      <c r="S17" s="5"/>
      <c r="T17" s="5"/>
      <c r="U17" s="5"/>
      <c r="V17" s="5"/>
      <c r="W17" s="5"/>
      <c r="X17" s="5"/>
      <c r="Y17" s="5"/>
      <c r="Z17" s="5"/>
    </row>
    <row r="18" customFormat="false" ht="14.25" hidden="false" customHeight="true" outlineLevel="0" collapsed="false">
      <c r="A18" s="7" t="s">
        <v>1690</v>
      </c>
      <c r="B18" s="7" t="s">
        <v>1691</v>
      </c>
      <c r="C18" s="24" t="s">
        <v>1692</v>
      </c>
      <c r="D18" s="7" t="s">
        <v>1693</v>
      </c>
      <c r="E18" s="79" t="s">
        <v>1694</v>
      </c>
      <c r="F18" s="5"/>
      <c r="G18" s="5"/>
      <c r="H18" s="5"/>
      <c r="I18" s="5"/>
      <c r="J18" s="5"/>
      <c r="K18" s="5"/>
      <c r="L18" s="5"/>
      <c r="M18" s="5"/>
      <c r="N18" s="5"/>
      <c r="O18" s="5"/>
      <c r="P18" s="5"/>
      <c r="Q18" s="5"/>
      <c r="R18" s="5"/>
      <c r="S18" s="5"/>
      <c r="T18" s="5"/>
      <c r="U18" s="5"/>
      <c r="V18" s="5"/>
      <c r="W18" s="5"/>
      <c r="X18" s="5"/>
      <c r="Y18" s="5"/>
      <c r="Z18" s="5"/>
    </row>
    <row r="19" customFormat="false" ht="26.25" hidden="false" customHeight="true" outlineLevel="0" collapsed="false">
      <c r="A19" s="23" t="s">
        <v>1695</v>
      </c>
      <c r="B19" s="7" t="s">
        <v>1696</v>
      </c>
      <c r="C19" s="7"/>
      <c r="D19" s="7"/>
      <c r="E19" s="7" t="s">
        <v>1697</v>
      </c>
      <c r="F19" s="5"/>
      <c r="G19" s="5"/>
      <c r="H19" s="5"/>
      <c r="I19" s="5"/>
      <c r="J19" s="5"/>
      <c r="K19" s="5"/>
      <c r="L19" s="5"/>
      <c r="M19" s="5"/>
      <c r="N19" s="5"/>
      <c r="O19" s="5"/>
      <c r="P19" s="5"/>
      <c r="Q19" s="5"/>
      <c r="R19" s="5"/>
      <c r="S19" s="5"/>
      <c r="T19" s="5"/>
      <c r="U19" s="5"/>
      <c r="V19" s="5"/>
      <c r="W19" s="5"/>
      <c r="X19" s="5"/>
      <c r="Y19" s="5"/>
      <c r="Z19" s="5"/>
    </row>
    <row r="20" customFormat="false" ht="14.25" hidden="false" customHeight="true" outlineLevel="0" collapsed="false">
      <c r="A20" s="23" t="s">
        <v>1698</v>
      </c>
      <c r="B20" s="7" t="s">
        <v>1699</v>
      </c>
      <c r="C20" s="7" t="s">
        <v>1700</v>
      </c>
      <c r="D20" s="7" t="s">
        <v>1701</v>
      </c>
      <c r="E20" s="7" t="s">
        <v>1702</v>
      </c>
      <c r="F20" s="5"/>
      <c r="G20" s="5"/>
      <c r="H20" s="5"/>
      <c r="I20" s="5"/>
      <c r="J20" s="5"/>
      <c r="K20" s="5"/>
      <c r="L20" s="5"/>
      <c r="M20" s="5"/>
      <c r="N20" s="5"/>
      <c r="O20" s="5"/>
      <c r="P20" s="5"/>
      <c r="Q20" s="5"/>
      <c r="R20" s="5"/>
      <c r="S20" s="5"/>
      <c r="T20" s="5"/>
      <c r="U20" s="5"/>
      <c r="V20" s="5"/>
      <c r="W20" s="5"/>
      <c r="X20" s="5"/>
      <c r="Y20" s="5"/>
      <c r="Z20" s="5"/>
    </row>
    <row r="21" customFormat="false" ht="26.25" hidden="false" customHeight="true" outlineLevel="0" collapsed="false">
      <c r="A21" s="23" t="s">
        <v>1703</v>
      </c>
      <c r="B21" s="7" t="s">
        <v>1704</v>
      </c>
      <c r="C21" s="5"/>
      <c r="D21" s="5"/>
      <c r="E21" s="5"/>
      <c r="F21" s="5"/>
      <c r="G21" s="5"/>
      <c r="H21" s="5"/>
      <c r="I21" s="5"/>
      <c r="J21" s="5"/>
      <c r="K21" s="5"/>
      <c r="L21" s="5"/>
      <c r="M21" s="5"/>
      <c r="N21" s="5"/>
      <c r="O21" s="5"/>
      <c r="P21" s="5"/>
      <c r="Q21" s="5"/>
      <c r="R21" s="5"/>
      <c r="S21" s="5"/>
      <c r="T21" s="5"/>
      <c r="U21" s="5"/>
      <c r="V21" s="5"/>
      <c r="W21" s="5"/>
      <c r="X21" s="5"/>
      <c r="Y21" s="5"/>
      <c r="Z21" s="5"/>
    </row>
    <row r="22" customFormat="false" ht="26.25" hidden="false" customHeight="true" outlineLevel="0" collapsed="false">
      <c r="A22" s="89" t="s">
        <v>1705</v>
      </c>
      <c r="B22" s="6"/>
      <c r="C22" s="4"/>
      <c r="D22" s="4"/>
      <c r="E22" s="5"/>
      <c r="F22" s="5"/>
      <c r="G22" s="5"/>
      <c r="H22" s="5"/>
      <c r="I22" s="5"/>
      <c r="J22" s="5"/>
      <c r="K22" s="5"/>
      <c r="L22" s="5"/>
      <c r="M22" s="5"/>
      <c r="N22" s="5"/>
      <c r="O22" s="5"/>
      <c r="P22" s="5"/>
      <c r="Q22" s="5"/>
      <c r="R22" s="5"/>
      <c r="S22" s="5"/>
      <c r="T22" s="5"/>
      <c r="U22" s="5"/>
      <c r="V22" s="5"/>
      <c r="W22" s="5"/>
      <c r="X22" s="5"/>
      <c r="Y22" s="5"/>
      <c r="Z22" s="5"/>
    </row>
    <row r="23" customFormat="false" ht="39" hidden="false" customHeight="true" outlineLevel="0" collapsed="false">
      <c r="A23" s="7" t="s">
        <v>329</v>
      </c>
      <c r="B23" s="7" t="s">
        <v>1706</v>
      </c>
      <c r="C23" s="5"/>
      <c r="D23" s="5"/>
      <c r="E23" s="5"/>
      <c r="F23" s="5"/>
      <c r="G23" s="5"/>
      <c r="H23" s="5"/>
      <c r="I23" s="5"/>
      <c r="J23" s="5"/>
      <c r="K23" s="5"/>
      <c r="L23" s="5"/>
      <c r="M23" s="5"/>
      <c r="N23" s="5"/>
      <c r="O23" s="5"/>
      <c r="P23" s="5"/>
      <c r="Q23" s="5"/>
      <c r="R23" s="5"/>
      <c r="S23" s="5"/>
      <c r="T23" s="5"/>
      <c r="U23" s="5"/>
      <c r="V23" s="5"/>
      <c r="W23" s="5"/>
      <c r="X23" s="5"/>
      <c r="Y23" s="5"/>
      <c r="Z23" s="5"/>
    </row>
    <row r="24" customFormat="false" ht="39" hidden="false" customHeight="true" outlineLevel="0" collapsed="false">
      <c r="A24" s="7" t="s">
        <v>1707</v>
      </c>
      <c r="B24" s="90" t="s">
        <v>1708</v>
      </c>
      <c r="C24" s="5"/>
      <c r="D24" s="5"/>
      <c r="E24" s="5"/>
      <c r="F24" s="5"/>
      <c r="G24" s="5"/>
      <c r="H24" s="5"/>
      <c r="I24" s="5"/>
      <c r="J24" s="5"/>
      <c r="K24" s="5"/>
      <c r="L24" s="5"/>
      <c r="M24" s="5"/>
      <c r="N24" s="5"/>
      <c r="O24" s="5"/>
      <c r="P24" s="5"/>
      <c r="Q24" s="5"/>
      <c r="R24" s="5"/>
      <c r="S24" s="5"/>
      <c r="T24" s="5"/>
      <c r="U24" s="5"/>
      <c r="V24" s="5"/>
      <c r="W24" s="5"/>
      <c r="X24" s="5"/>
      <c r="Y24" s="5"/>
      <c r="Z24" s="5"/>
    </row>
    <row r="25" customFormat="false" ht="14.25" hidden="false" customHeight="true" outlineLevel="0" collapsed="false">
      <c r="A25" s="10" t="s">
        <v>626</v>
      </c>
      <c r="B25" s="79" t="str">
        <f aca="false">Config!B17</f>
        <v>PLSS_LOCAL</v>
      </c>
      <c r="C25" s="5"/>
      <c r="D25" s="5"/>
      <c r="E25" s="5"/>
      <c r="F25" s="5"/>
      <c r="G25" s="5"/>
      <c r="H25" s="5"/>
      <c r="I25" s="5"/>
      <c r="J25" s="5"/>
      <c r="K25" s="5"/>
      <c r="L25" s="5"/>
      <c r="M25" s="5"/>
      <c r="N25" s="5"/>
      <c r="O25" s="5"/>
      <c r="P25" s="5"/>
      <c r="Q25" s="5"/>
      <c r="R25" s="5"/>
      <c r="S25" s="5"/>
      <c r="T25" s="5"/>
      <c r="U25" s="5"/>
      <c r="V25" s="5"/>
      <c r="W25" s="5"/>
      <c r="X25" s="5"/>
      <c r="Y25" s="5"/>
      <c r="Z25" s="5"/>
    </row>
    <row r="26" customFormat="false" ht="14.25" hidden="false" customHeight="true" outlineLevel="0" collapsed="false">
      <c r="A26" s="10" t="s">
        <v>1709</v>
      </c>
      <c r="B26" s="7" t="str">
        <f aca="false">IF(Config!B17="PLSS_LOCAL","See PLSS_Local_Scope for q_u and w_u^PLSS","Uniform weights active")</f>
        <v>See PLSS_Local_Scope for q_u and w_u^PLSS</v>
      </c>
      <c r="C26" s="5"/>
      <c r="D26" s="5"/>
      <c r="E26" s="5"/>
      <c r="F26" s="5"/>
      <c r="G26" s="5"/>
      <c r="H26" s="5"/>
      <c r="I26" s="5"/>
      <c r="J26" s="5"/>
      <c r="K26" s="5"/>
      <c r="L26" s="5"/>
      <c r="M26" s="5"/>
      <c r="N26" s="5"/>
      <c r="O26" s="5"/>
      <c r="P26" s="5"/>
      <c r="Q26" s="5"/>
      <c r="R26" s="5"/>
      <c r="S26" s="5"/>
      <c r="T26" s="5"/>
      <c r="U26" s="5"/>
      <c r="V26" s="5"/>
      <c r="W26" s="5"/>
      <c r="X26" s="5"/>
      <c r="Y26" s="5"/>
      <c r="Z26" s="5"/>
    </row>
    <row r="27" customFormat="false" ht="14.25" hidden="false" customHeight="true" outlineLevel="0" collapsed="false">
      <c r="A27" s="91" t="s">
        <v>1710</v>
      </c>
      <c r="B27" s="92" t="s">
        <v>1711</v>
      </c>
      <c r="C27" s="92" t="s">
        <v>1712</v>
      </c>
      <c r="D27" s="5"/>
      <c r="E27" s="5"/>
      <c r="F27" s="5"/>
      <c r="G27" s="5"/>
      <c r="H27" s="5"/>
      <c r="I27" s="5"/>
      <c r="J27" s="5"/>
      <c r="K27" s="5"/>
      <c r="L27" s="5"/>
      <c r="M27" s="5"/>
      <c r="N27" s="5"/>
      <c r="O27" s="5"/>
      <c r="P27" s="5"/>
      <c r="Q27" s="5"/>
      <c r="R27" s="5"/>
      <c r="S27" s="5"/>
      <c r="T27" s="5"/>
      <c r="U27" s="5"/>
      <c r="V27" s="5"/>
      <c r="W27" s="5"/>
      <c r="X27" s="5"/>
      <c r="Y27" s="5"/>
      <c r="Z27" s="5"/>
    </row>
    <row r="28" customFormat="false" ht="24" hidden="false" customHeight="true" outlineLevel="0" collapsed="false">
      <c r="A28" s="7" t="s">
        <v>1454</v>
      </c>
      <c r="B28" s="7" t="s">
        <v>1713</v>
      </c>
      <c r="C28" s="5" t="s">
        <v>1714</v>
      </c>
      <c r="D28" s="5"/>
      <c r="E28" s="5"/>
      <c r="F28" s="5"/>
      <c r="G28" s="5"/>
      <c r="H28" s="5"/>
      <c r="I28" s="5"/>
      <c r="J28" s="5"/>
      <c r="K28" s="5"/>
      <c r="L28" s="5"/>
      <c r="M28" s="5"/>
      <c r="N28" s="5"/>
      <c r="O28" s="5"/>
      <c r="P28" s="5"/>
      <c r="Q28" s="5"/>
      <c r="R28" s="5"/>
      <c r="S28" s="5"/>
      <c r="T28" s="5"/>
      <c r="U28" s="5"/>
      <c r="V28" s="5"/>
      <c r="W28" s="5"/>
      <c r="X28" s="5"/>
      <c r="Y28" s="5"/>
      <c r="Z28" s="5"/>
    </row>
    <row r="29" customFormat="false" ht="24" hidden="false" customHeight="true" outlineLevel="0" collapsed="false">
      <c r="A29" s="79" t="s">
        <v>1715</v>
      </c>
      <c r="B29" s="7" t="s">
        <v>146</v>
      </c>
      <c r="C29" s="5" t="s">
        <v>1716</v>
      </c>
      <c r="D29" s="5"/>
      <c r="E29" s="5"/>
      <c r="F29" s="5"/>
      <c r="G29" s="5"/>
      <c r="H29" s="5"/>
      <c r="I29" s="5"/>
      <c r="J29" s="5"/>
      <c r="K29" s="5"/>
      <c r="L29" s="5"/>
      <c r="M29" s="5"/>
      <c r="N29" s="5"/>
      <c r="O29" s="5"/>
      <c r="P29" s="5"/>
      <c r="Q29" s="5"/>
      <c r="R29" s="5"/>
      <c r="S29" s="5"/>
      <c r="T29" s="5"/>
      <c r="U29" s="5"/>
      <c r="V29" s="5"/>
      <c r="W29" s="5"/>
      <c r="X29" s="5"/>
      <c r="Y29" s="5"/>
      <c r="Z29" s="5"/>
    </row>
    <row r="30" customFormat="false" ht="24" hidden="false" customHeight="true" outlineLevel="0" collapsed="false">
      <c r="A30" s="7" t="s">
        <v>1717</v>
      </c>
      <c r="B30" s="7" t="s">
        <v>146</v>
      </c>
      <c r="C30" s="5" t="s">
        <v>1718</v>
      </c>
      <c r="D30" s="5"/>
      <c r="E30" s="5"/>
      <c r="F30" s="5"/>
      <c r="G30" s="5"/>
      <c r="H30" s="5"/>
      <c r="I30" s="5"/>
      <c r="J30" s="5"/>
      <c r="K30" s="5"/>
      <c r="L30" s="5"/>
      <c r="M30" s="5"/>
      <c r="N30" s="5"/>
      <c r="O30" s="5"/>
      <c r="P30" s="5"/>
      <c r="Q30" s="5"/>
      <c r="R30" s="5"/>
      <c r="S30" s="5"/>
      <c r="T30" s="5"/>
      <c r="U30" s="5"/>
      <c r="V30" s="5"/>
      <c r="W30" s="5"/>
      <c r="X30" s="5"/>
      <c r="Y30" s="5"/>
      <c r="Z30" s="5"/>
    </row>
    <row r="31" customFormat="false" ht="24" hidden="false" customHeight="true" outlineLevel="0" collapsed="false">
      <c r="A31" s="7" t="s">
        <v>1719</v>
      </c>
      <c r="B31" s="7" t="s">
        <v>146</v>
      </c>
      <c r="C31" s="5" t="s">
        <v>1720</v>
      </c>
      <c r="D31" s="5"/>
      <c r="E31" s="5"/>
      <c r="F31" s="5"/>
      <c r="G31" s="5"/>
      <c r="H31" s="5"/>
      <c r="I31" s="5"/>
      <c r="J31" s="5"/>
      <c r="K31" s="5"/>
      <c r="L31" s="5"/>
      <c r="M31" s="5"/>
      <c r="N31" s="5"/>
      <c r="O31" s="5"/>
      <c r="P31" s="5"/>
      <c r="Q31" s="5"/>
      <c r="R31" s="5"/>
      <c r="S31" s="5"/>
      <c r="T31" s="5"/>
      <c r="U31" s="5"/>
      <c r="V31" s="5"/>
      <c r="W31" s="5"/>
      <c r="X31" s="5"/>
      <c r="Y31" s="5"/>
      <c r="Z31" s="5"/>
    </row>
    <row r="32" customFormat="false" ht="24" hidden="false" customHeight="true" outlineLevel="0" collapsed="false">
      <c r="A32" s="5" t="s">
        <v>1721</v>
      </c>
      <c r="B32" s="5" t="s">
        <v>146</v>
      </c>
      <c r="C32" s="5" t="s">
        <v>1722</v>
      </c>
      <c r="D32" s="5"/>
      <c r="E32" s="5"/>
      <c r="F32" s="5"/>
      <c r="G32" s="5"/>
      <c r="H32" s="5"/>
      <c r="I32" s="5"/>
      <c r="J32" s="5"/>
      <c r="K32" s="5"/>
      <c r="L32" s="5"/>
      <c r="M32" s="5"/>
      <c r="N32" s="5"/>
      <c r="O32" s="5"/>
      <c r="P32" s="5"/>
      <c r="Q32" s="5"/>
      <c r="R32" s="5"/>
      <c r="S32" s="5"/>
      <c r="T32" s="5"/>
      <c r="U32" s="5"/>
      <c r="V32" s="5"/>
      <c r="W32" s="5"/>
      <c r="X32" s="5"/>
      <c r="Y32" s="5"/>
      <c r="Z32" s="5"/>
    </row>
    <row r="33" customFormat="false" ht="24" hidden="false" customHeight="true" outlineLevel="0" collapsed="false">
      <c r="A33" s="23" t="s">
        <v>1723</v>
      </c>
      <c r="B33" s="5" t="s">
        <v>1724</v>
      </c>
      <c r="C33" s="5" t="s">
        <v>1725</v>
      </c>
      <c r="D33" s="5"/>
      <c r="E33" s="5"/>
      <c r="F33" s="5"/>
      <c r="G33" s="5"/>
      <c r="H33" s="5"/>
      <c r="I33" s="5"/>
      <c r="J33" s="5"/>
      <c r="K33" s="5"/>
      <c r="L33" s="5"/>
      <c r="M33" s="5"/>
      <c r="N33" s="5"/>
      <c r="O33" s="5"/>
      <c r="P33" s="5"/>
      <c r="Q33" s="5"/>
      <c r="R33" s="5"/>
      <c r="S33" s="5"/>
      <c r="T33" s="5"/>
      <c r="U33" s="5"/>
      <c r="V33" s="5"/>
      <c r="W33" s="5"/>
      <c r="X33" s="5"/>
      <c r="Y33" s="5"/>
      <c r="Z33" s="5"/>
    </row>
    <row r="34" customFormat="false" ht="48" hidden="false" customHeight="true" outlineLevel="0" collapsed="false">
      <c r="A34" s="7" t="s">
        <v>1726</v>
      </c>
      <c r="B34" s="34" t="s">
        <v>323</v>
      </c>
      <c r="C34" s="5" t="s">
        <v>1727</v>
      </c>
      <c r="D34" s="5"/>
      <c r="E34" s="5"/>
      <c r="F34" s="5"/>
      <c r="G34" s="5"/>
      <c r="H34" s="5"/>
      <c r="I34" s="5"/>
      <c r="J34" s="5"/>
      <c r="K34" s="5"/>
      <c r="L34" s="5"/>
      <c r="M34" s="5"/>
      <c r="N34" s="5"/>
      <c r="O34" s="5"/>
      <c r="P34" s="5"/>
      <c r="Q34" s="5"/>
      <c r="R34" s="5"/>
      <c r="S34" s="5"/>
      <c r="T34" s="5"/>
      <c r="U34" s="5"/>
      <c r="V34" s="5"/>
      <c r="W34" s="5"/>
      <c r="X34" s="5"/>
      <c r="Y34" s="5"/>
      <c r="Z34" s="5"/>
    </row>
    <row r="35" customFormat="false" ht="33" hidden="false" customHeight="true" outlineLevel="0" collapsed="false">
      <c r="A35" s="7" t="s">
        <v>1728</v>
      </c>
      <c r="B35" s="93" t="s">
        <v>1729</v>
      </c>
      <c r="C35" s="5" t="s">
        <v>1730</v>
      </c>
      <c r="D35" s="5"/>
      <c r="E35" s="5"/>
      <c r="F35" s="5"/>
      <c r="G35" s="5"/>
      <c r="H35" s="5"/>
      <c r="I35" s="5"/>
      <c r="J35" s="5"/>
      <c r="K35" s="5"/>
      <c r="L35" s="5"/>
      <c r="M35" s="5"/>
      <c r="N35" s="5"/>
      <c r="O35" s="5"/>
      <c r="P35" s="5"/>
      <c r="Q35" s="5"/>
      <c r="R35" s="5"/>
      <c r="S35" s="5"/>
      <c r="T35" s="5"/>
      <c r="U35" s="5"/>
      <c r="V35" s="5"/>
      <c r="W35" s="5"/>
      <c r="X35" s="5"/>
      <c r="Y35" s="5"/>
      <c r="Z35" s="5"/>
    </row>
    <row r="36" customFormat="false" ht="36" hidden="false" customHeight="true" outlineLevel="0" collapsed="false">
      <c r="A36" s="7" t="s">
        <v>1731</v>
      </c>
      <c r="B36" s="34" t="s">
        <v>1732</v>
      </c>
      <c r="C36" s="5" t="s">
        <v>1733</v>
      </c>
      <c r="D36" s="5"/>
      <c r="E36" s="5"/>
      <c r="F36" s="5"/>
      <c r="G36" s="5"/>
      <c r="H36" s="5"/>
      <c r="I36" s="5"/>
      <c r="J36" s="5"/>
      <c r="K36" s="5"/>
      <c r="L36" s="5"/>
      <c r="M36" s="5"/>
      <c r="N36" s="5"/>
      <c r="O36" s="5"/>
      <c r="P36" s="5"/>
      <c r="Q36" s="5"/>
      <c r="R36" s="5"/>
      <c r="S36" s="5"/>
      <c r="T36" s="5"/>
      <c r="U36" s="5"/>
      <c r="V36" s="5"/>
      <c r="W36" s="5"/>
      <c r="X36" s="5"/>
      <c r="Y36" s="5"/>
      <c r="Z36" s="5"/>
    </row>
    <row r="37" customFormat="false" ht="14.25" hidden="false" customHeight="true" outlineLevel="0" collapsed="false">
      <c r="A37" s="7" t="s">
        <v>1734</v>
      </c>
      <c r="B37" s="34" t="n">
        <v>1</v>
      </c>
      <c r="C37" s="5"/>
      <c r="D37" s="5"/>
      <c r="E37" s="5"/>
      <c r="F37" s="5"/>
      <c r="G37" s="5"/>
      <c r="H37" s="5"/>
      <c r="I37" s="5"/>
      <c r="J37" s="5"/>
      <c r="K37" s="5"/>
      <c r="L37" s="5"/>
      <c r="M37" s="5"/>
      <c r="N37" s="5"/>
      <c r="O37" s="5"/>
      <c r="P37" s="5"/>
      <c r="Q37" s="5"/>
      <c r="R37" s="5"/>
      <c r="S37" s="5"/>
      <c r="T37" s="5"/>
      <c r="U37" s="5"/>
      <c r="V37" s="5"/>
      <c r="W37" s="5"/>
      <c r="X37" s="5"/>
      <c r="Y37" s="5"/>
      <c r="Z37" s="5"/>
    </row>
    <row r="38" customFormat="false" ht="14.25" hidden="false" customHeight="true" outlineLevel="0" collapsed="false">
      <c r="A38" s="5"/>
      <c r="B38" s="90"/>
      <c r="C38" s="5"/>
      <c r="D38" s="5"/>
      <c r="E38" s="5"/>
      <c r="F38" s="5"/>
      <c r="G38" s="5"/>
      <c r="H38" s="5"/>
      <c r="I38" s="5"/>
      <c r="J38" s="5"/>
      <c r="K38" s="5"/>
      <c r="L38" s="5"/>
      <c r="M38" s="5"/>
      <c r="N38" s="5"/>
      <c r="O38" s="5"/>
      <c r="P38" s="5"/>
      <c r="Q38" s="5"/>
      <c r="R38" s="5"/>
      <c r="S38" s="5"/>
      <c r="T38" s="5"/>
      <c r="U38" s="5"/>
      <c r="V38" s="5"/>
      <c r="W38" s="5"/>
      <c r="X38" s="5"/>
      <c r="Y38" s="5"/>
      <c r="Z38" s="5"/>
    </row>
    <row r="39" customFormat="false" ht="14.25" hidden="false" customHeight="true" outlineLevel="0" collapsed="false">
      <c r="A39" s="7" t="s">
        <v>1735</v>
      </c>
      <c r="B39" s="7" t="str">
        <f aca="false">IF(Audit_Flags!B23&gt;0,"⚠ REVIEW flags present","No REVIEW flags")</f>
        <v>⚠ REVIEW flags present</v>
      </c>
      <c r="C39" s="5"/>
      <c r="D39" s="5"/>
      <c r="E39" s="5"/>
      <c r="F39" s="5"/>
      <c r="G39" s="5"/>
      <c r="H39" s="5"/>
      <c r="I39" s="5"/>
      <c r="J39" s="5"/>
      <c r="K39" s="5"/>
      <c r="L39" s="5"/>
      <c r="M39" s="5"/>
      <c r="N39" s="5"/>
      <c r="O39" s="5"/>
      <c r="P39" s="5"/>
      <c r="Q39" s="5"/>
      <c r="R39" s="5"/>
      <c r="S39" s="5"/>
      <c r="T39" s="5"/>
      <c r="U39" s="5"/>
      <c r="V39" s="5"/>
      <c r="W39" s="5"/>
      <c r="X39" s="5"/>
      <c r="Y39" s="5"/>
      <c r="Z39" s="5"/>
    </row>
    <row r="40" customFormat="false" ht="14.25" hidden="false" customHeight="true" outlineLevel="0" collapsed="false">
      <c r="A40" s="5"/>
      <c r="B40" s="5"/>
      <c r="C40" s="5"/>
      <c r="D40" s="5"/>
      <c r="E40" s="5"/>
      <c r="F40" s="5"/>
      <c r="G40" s="5"/>
      <c r="H40" s="5"/>
      <c r="I40" s="5"/>
      <c r="J40" s="5"/>
      <c r="K40" s="5"/>
      <c r="L40" s="5"/>
      <c r="M40" s="5"/>
      <c r="N40" s="5"/>
      <c r="O40" s="5"/>
      <c r="P40" s="5"/>
      <c r="Q40" s="5"/>
      <c r="R40" s="5"/>
      <c r="S40" s="5"/>
      <c r="T40" s="5"/>
      <c r="U40" s="5"/>
      <c r="V40" s="5"/>
      <c r="W40" s="5"/>
      <c r="X40" s="5"/>
      <c r="Y40" s="5"/>
      <c r="Z40" s="5"/>
    </row>
    <row r="41" customFormat="false" ht="14.25" hidden="false" customHeight="true" outlineLevel="0" collapsed="false">
      <c r="A41" s="23"/>
      <c r="B41" s="5"/>
      <c r="C41" s="5"/>
      <c r="D41" s="5"/>
      <c r="E41" s="5"/>
      <c r="F41" s="5"/>
      <c r="G41" s="5"/>
      <c r="H41" s="5"/>
      <c r="I41" s="5"/>
      <c r="J41" s="5"/>
      <c r="K41" s="5"/>
      <c r="L41" s="5"/>
      <c r="M41" s="5"/>
      <c r="N41" s="5"/>
      <c r="O41" s="5"/>
      <c r="P41" s="5"/>
      <c r="Q41" s="5"/>
      <c r="R41" s="5"/>
      <c r="S41" s="5"/>
      <c r="T41" s="5"/>
      <c r="U41" s="5"/>
      <c r="V41" s="5"/>
      <c r="W41" s="5"/>
      <c r="X41" s="5"/>
      <c r="Y41" s="5"/>
      <c r="Z41" s="5"/>
    </row>
    <row r="42" customFormat="false" ht="14.25" hidden="false" customHeight="true" outlineLevel="0" collapsed="false">
      <c r="A42" s="34" t="str">
        <f aca="false">Audit_Flags!B26</f>
        <v>NO</v>
      </c>
      <c r="B42" s="7" t="str">
        <f aca="false">IF(Audit_Flags!J19="(none)","(none)",Audit_Flags!J19)</f>
        <v>NONDECISIVE_GAP_REVIEW (REVIEW)</v>
      </c>
      <c r="C42" s="5"/>
      <c r="D42" s="5"/>
      <c r="E42" s="5"/>
      <c r="F42" s="5"/>
      <c r="G42" s="5"/>
      <c r="H42" s="5"/>
      <c r="I42" s="5"/>
      <c r="J42" s="5"/>
      <c r="K42" s="5"/>
      <c r="L42" s="5"/>
      <c r="M42" s="5"/>
      <c r="N42" s="5"/>
      <c r="O42" s="5"/>
      <c r="P42" s="5"/>
      <c r="Q42" s="5"/>
      <c r="R42" s="5"/>
      <c r="S42" s="5"/>
      <c r="T42" s="5"/>
      <c r="U42" s="5"/>
      <c r="V42" s="5"/>
      <c r="W42" s="5"/>
      <c r="X42" s="5"/>
      <c r="Y42" s="5"/>
      <c r="Z42" s="5"/>
    </row>
    <row r="43" customFormat="false" ht="14.25" hidden="false" customHeight="true" outlineLevel="0" collapsed="false">
      <c r="A43" s="5"/>
      <c r="B43" s="5"/>
      <c r="C43" s="5"/>
      <c r="D43" s="5"/>
      <c r="E43" s="5"/>
      <c r="F43" s="5"/>
      <c r="G43" s="5"/>
      <c r="H43" s="5"/>
      <c r="I43" s="5"/>
      <c r="J43" s="5"/>
      <c r="K43" s="5"/>
      <c r="L43" s="5"/>
      <c r="M43" s="5"/>
      <c r="N43" s="5"/>
      <c r="O43" s="5"/>
      <c r="P43" s="5"/>
      <c r="Q43" s="5"/>
      <c r="R43" s="5"/>
      <c r="S43" s="5"/>
      <c r="T43" s="5"/>
      <c r="U43" s="5"/>
      <c r="V43" s="5"/>
      <c r="W43" s="5"/>
      <c r="X43" s="5"/>
      <c r="Y43" s="5"/>
      <c r="Z43" s="5"/>
    </row>
    <row r="44" customFormat="false" ht="14.25" hidden="false" customHeight="true" outlineLevel="0" collapsed="false">
      <c r="A44" s="5"/>
      <c r="B44" s="5"/>
      <c r="C44" s="5"/>
      <c r="D44" s="5"/>
      <c r="E44" s="5"/>
      <c r="F44" s="5"/>
      <c r="G44" s="5"/>
      <c r="H44" s="5"/>
      <c r="I44" s="5"/>
      <c r="J44" s="5"/>
      <c r="K44" s="5"/>
      <c r="L44" s="5"/>
      <c r="M44" s="5"/>
      <c r="N44" s="5"/>
      <c r="O44" s="5"/>
      <c r="P44" s="5"/>
      <c r="Q44" s="5"/>
      <c r="R44" s="5"/>
      <c r="S44" s="5"/>
      <c r="T44" s="5"/>
      <c r="U44" s="5"/>
      <c r="V44" s="5"/>
      <c r="W44" s="5"/>
      <c r="X44" s="5"/>
      <c r="Y44" s="5"/>
      <c r="Z44" s="5"/>
    </row>
    <row r="45" customFormat="false" ht="14.25" hidden="false" customHeight="true" outlineLevel="0" collapsed="false">
      <c r="A45" s="7" t="s">
        <v>1736</v>
      </c>
      <c r="B45" s="7" t="n">
        <f aca="false">Audit_Flags!B24</f>
        <v>1</v>
      </c>
      <c r="C45" s="5"/>
      <c r="D45" s="5"/>
      <c r="E45" s="5"/>
      <c r="F45" s="5"/>
      <c r="G45" s="5"/>
      <c r="H45" s="5"/>
      <c r="I45" s="5"/>
      <c r="J45" s="5"/>
      <c r="K45" s="5"/>
      <c r="L45" s="5"/>
      <c r="M45" s="5"/>
      <c r="N45" s="5"/>
      <c r="O45" s="5"/>
      <c r="P45" s="5"/>
      <c r="Q45" s="5"/>
      <c r="R45" s="5"/>
      <c r="S45" s="5"/>
      <c r="T45" s="5"/>
      <c r="U45" s="5"/>
      <c r="V45" s="5"/>
      <c r="W45" s="5"/>
      <c r="X45" s="5"/>
      <c r="Y45" s="5"/>
      <c r="Z45" s="5"/>
    </row>
    <row r="46" customFormat="false" ht="14.25" hidden="false" customHeight="true" outlineLevel="0" collapsed="false">
      <c r="A46" s="5"/>
      <c r="B46" s="5"/>
      <c r="C46" s="5"/>
      <c r="D46" s="5"/>
      <c r="E46" s="5"/>
      <c r="F46" s="5"/>
      <c r="G46" s="5"/>
      <c r="H46" s="5"/>
      <c r="I46" s="5"/>
      <c r="J46" s="5"/>
      <c r="K46" s="5"/>
      <c r="L46" s="5"/>
      <c r="M46" s="5"/>
      <c r="N46" s="5"/>
      <c r="O46" s="5"/>
      <c r="P46" s="5"/>
      <c r="Q46" s="5"/>
      <c r="R46" s="5"/>
      <c r="S46" s="5"/>
      <c r="T46" s="5"/>
      <c r="U46" s="5"/>
      <c r="V46" s="5"/>
      <c r="W46" s="5"/>
      <c r="X46" s="5"/>
      <c r="Y46" s="5"/>
      <c r="Z46" s="5"/>
    </row>
    <row r="47" customFormat="false" ht="14.25" hidden="false" customHeight="true" outlineLevel="0" collapsed="false">
      <c r="A47" s="5"/>
      <c r="B47" s="5"/>
      <c r="C47" s="5"/>
      <c r="D47" s="5"/>
      <c r="E47" s="5"/>
      <c r="F47" s="5"/>
      <c r="G47" s="5"/>
      <c r="H47" s="5"/>
      <c r="I47" s="5"/>
      <c r="J47" s="5"/>
      <c r="K47" s="5"/>
      <c r="L47" s="5"/>
      <c r="M47" s="5"/>
      <c r="N47" s="5"/>
      <c r="O47" s="5"/>
      <c r="P47" s="5"/>
      <c r="Q47" s="5"/>
      <c r="R47" s="5"/>
      <c r="S47" s="5"/>
      <c r="T47" s="5"/>
      <c r="U47" s="5"/>
      <c r="V47" s="5"/>
      <c r="W47" s="5"/>
      <c r="X47" s="5"/>
      <c r="Y47" s="5"/>
      <c r="Z47" s="5"/>
    </row>
    <row r="48" customFormat="false" ht="14.25" hidden="false" customHeight="true" outlineLevel="0" collapsed="false">
      <c r="A48" s="5"/>
      <c r="B48" s="5"/>
      <c r="C48" s="5"/>
      <c r="D48" s="5"/>
      <c r="E48" s="5"/>
      <c r="F48" s="5"/>
      <c r="G48" s="5"/>
      <c r="H48" s="5"/>
      <c r="I48" s="5"/>
      <c r="J48" s="5"/>
      <c r="K48" s="5"/>
      <c r="L48" s="5"/>
      <c r="M48" s="5"/>
      <c r="N48" s="5"/>
      <c r="O48" s="5"/>
      <c r="P48" s="5"/>
      <c r="Q48" s="5"/>
      <c r="R48" s="5"/>
      <c r="S48" s="5"/>
      <c r="T48" s="5"/>
      <c r="U48" s="5"/>
      <c r="V48" s="5"/>
      <c r="W48" s="5"/>
      <c r="X48" s="5"/>
      <c r="Y48" s="5"/>
      <c r="Z48" s="5"/>
    </row>
    <row r="49" customFormat="false" ht="14.25" hidden="false" customHeight="true" outlineLevel="0" collapsed="false">
      <c r="A49" s="23" t="s">
        <v>1737</v>
      </c>
      <c r="B49" s="5"/>
      <c r="C49" s="5"/>
      <c r="D49" s="5"/>
      <c r="E49" s="5"/>
      <c r="F49" s="5"/>
      <c r="G49" s="5"/>
      <c r="H49" s="5"/>
      <c r="I49" s="5"/>
      <c r="J49" s="5"/>
      <c r="K49" s="5"/>
      <c r="L49" s="5"/>
      <c r="M49" s="5"/>
      <c r="N49" s="5"/>
      <c r="O49" s="5"/>
      <c r="P49" s="5"/>
      <c r="Q49" s="5"/>
      <c r="R49" s="5"/>
      <c r="S49" s="5"/>
      <c r="T49" s="5"/>
      <c r="U49" s="5"/>
      <c r="V49" s="5"/>
      <c r="W49" s="5"/>
      <c r="X49" s="5"/>
      <c r="Y49" s="5"/>
      <c r="Z49" s="5"/>
    </row>
    <row r="50" customFormat="false" ht="26.25" hidden="false" customHeight="true" outlineLevel="0" collapsed="false">
      <c r="A50" s="7" t="s">
        <v>1738</v>
      </c>
      <c r="B50" s="5"/>
      <c r="C50" s="5"/>
      <c r="D50" s="5"/>
      <c r="E50" s="5"/>
      <c r="F50" s="5"/>
      <c r="G50" s="5"/>
      <c r="H50" s="5"/>
      <c r="I50" s="5"/>
      <c r="J50" s="5"/>
      <c r="K50" s="5"/>
      <c r="L50" s="5"/>
      <c r="M50" s="5"/>
      <c r="N50" s="5"/>
      <c r="O50" s="5"/>
      <c r="P50" s="5"/>
      <c r="Q50" s="5"/>
      <c r="R50" s="5"/>
      <c r="S50" s="5"/>
      <c r="T50" s="5"/>
      <c r="U50" s="5"/>
      <c r="V50" s="5"/>
      <c r="W50" s="5"/>
      <c r="X50" s="5"/>
      <c r="Y50" s="5"/>
      <c r="Z50" s="5"/>
    </row>
    <row r="51" customFormat="false" ht="26.25" hidden="false" customHeight="true" outlineLevel="0" collapsed="false">
      <c r="A51" s="7" t="s">
        <v>1739</v>
      </c>
      <c r="B51" s="5"/>
      <c r="C51" s="5"/>
      <c r="D51" s="5"/>
      <c r="E51" s="5"/>
      <c r="F51" s="5"/>
      <c r="G51" s="5"/>
      <c r="H51" s="5"/>
      <c r="I51" s="5"/>
      <c r="J51" s="5"/>
      <c r="K51" s="5"/>
      <c r="L51" s="5"/>
      <c r="M51" s="5"/>
      <c r="N51" s="5"/>
      <c r="O51" s="5"/>
      <c r="P51" s="5"/>
      <c r="Q51" s="5"/>
      <c r="R51" s="5"/>
      <c r="S51" s="5"/>
      <c r="T51" s="5"/>
      <c r="U51" s="5"/>
      <c r="V51" s="5"/>
      <c r="W51" s="5"/>
      <c r="X51" s="5"/>
      <c r="Y51" s="5"/>
      <c r="Z51" s="5"/>
    </row>
    <row r="52" customFormat="false" ht="14.25" hidden="false" customHeight="true" outlineLevel="0" collapsed="false">
      <c r="A52" s="34" t="s">
        <v>1740</v>
      </c>
      <c r="B52" s="7" t="s">
        <v>1741</v>
      </c>
      <c r="C52" s="5"/>
      <c r="D52" s="5"/>
      <c r="E52" s="5"/>
      <c r="F52" s="5"/>
      <c r="G52" s="5"/>
      <c r="H52" s="5"/>
      <c r="I52" s="5"/>
      <c r="J52" s="5"/>
      <c r="K52" s="5"/>
      <c r="L52" s="5"/>
      <c r="M52" s="5"/>
      <c r="N52" s="5"/>
      <c r="O52" s="5"/>
      <c r="P52" s="5"/>
      <c r="Q52" s="5"/>
      <c r="R52" s="5"/>
      <c r="S52" s="5"/>
      <c r="T52" s="5"/>
      <c r="U52" s="5"/>
      <c r="V52" s="5"/>
      <c r="W52" s="5"/>
      <c r="X52" s="5"/>
      <c r="Y52" s="5"/>
      <c r="Z52" s="5"/>
    </row>
    <row r="53" customFormat="false" ht="26.25" hidden="false" customHeight="true" outlineLevel="0" collapsed="false">
      <c r="A53" s="7" t="s">
        <v>1742</v>
      </c>
      <c r="B53" s="5"/>
      <c r="C53" s="5"/>
      <c r="D53" s="5"/>
      <c r="E53" s="5"/>
      <c r="F53" s="5"/>
      <c r="G53" s="5"/>
      <c r="H53" s="5"/>
      <c r="I53" s="5"/>
      <c r="J53" s="5"/>
      <c r="K53" s="5"/>
      <c r="L53" s="5"/>
      <c r="M53" s="5"/>
      <c r="N53" s="5"/>
      <c r="O53" s="5"/>
      <c r="P53" s="5"/>
      <c r="Q53" s="5"/>
      <c r="R53" s="5"/>
      <c r="S53" s="5"/>
      <c r="T53" s="5"/>
      <c r="U53" s="5"/>
      <c r="V53" s="5"/>
      <c r="W53" s="5"/>
      <c r="X53" s="5"/>
      <c r="Y53" s="5"/>
      <c r="Z53" s="5"/>
    </row>
    <row r="54" customFormat="false" ht="14.25" hidden="false" customHeight="true" outlineLevel="0" collapsed="false">
      <c r="A54" s="5"/>
      <c r="B54" s="5"/>
      <c r="C54" s="5"/>
      <c r="D54" s="5"/>
      <c r="E54" s="5"/>
      <c r="F54" s="5"/>
      <c r="G54" s="5"/>
      <c r="H54" s="5"/>
      <c r="I54" s="5"/>
      <c r="J54" s="5"/>
      <c r="K54" s="5"/>
      <c r="L54" s="5"/>
      <c r="M54" s="5"/>
      <c r="N54" s="5"/>
      <c r="O54" s="5"/>
      <c r="P54" s="5"/>
      <c r="Q54" s="5"/>
      <c r="R54" s="5"/>
      <c r="S54" s="5"/>
      <c r="T54" s="5"/>
      <c r="U54" s="5"/>
      <c r="V54" s="5"/>
      <c r="W54" s="5"/>
      <c r="X54" s="5"/>
      <c r="Y54" s="5"/>
      <c r="Z54" s="5"/>
    </row>
    <row r="55" customFormat="false" ht="24" hidden="false" customHeight="true" outlineLevel="0" collapsed="false">
      <c r="A55" s="5" t="s">
        <v>1743</v>
      </c>
      <c r="B55" s="5"/>
      <c r="C55" s="5"/>
      <c r="D55" s="5"/>
      <c r="E55" s="5"/>
      <c r="F55" s="5"/>
      <c r="G55" s="5"/>
      <c r="H55" s="5"/>
      <c r="I55" s="5"/>
      <c r="J55" s="5"/>
      <c r="K55" s="5"/>
      <c r="L55" s="5"/>
      <c r="M55" s="5"/>
      <c r="N55" s="5"/>
      <c r="O55" s="5"/>
      <c r="P55" s="5"/>
      <c r="Q55" s="5"/>
      <c r="R55" s="5"/>
      <c r="S55" s="5"/>
      <c r="T55" s="5"/>
      <c r="U55" s="5"/>
      <c r="V55" s="5"/>
      <c r="W55" s="5"/>
      <c r="X55" s="5"/>
      <c r="Y55" s="5"/>
      <c r="Z55" s="5"/>
    </row>
    <row r="56" customFormat="false" ht="14.25" hidden="false" customHeight="true" outlineLevel="0" collapsed="false">
      <c r="A56" s="5" t="s">
        <v>1744</v>
      </c>
      <c r="B56" s="5" t="s">
        <v>496</v>
      </c>
      <c r="C56" s="5"/>
      <c r="D56" s="5"/>
      <c r="E56" s="5"/>
      <c r="F56" s="5"/>
      <c r="G56" s="5"/>
      <c r="H56" s="5"/>
      <c r="I56" s="5"/>
      <c r="J56" s="5"/>
      <c r="K56" s="5"/>
      <c r="L56" s="5"/>
      <c r="M56" s="5"/>
      <c r="N56" s="5"/>
      <c r="O56" s="5"/>
      <c r="P56" s="5"/>
      <c r="Q56" s="5"/>
      <c r="R56" s="5"/>
      <c r="S56" s="5"/>
      <c r="T56" s="5"/>
      <c r="U56" s="5"/>
      <c r="V56" s="5"/>
      <c r="W56" s="5"/>
      <c r="X56" s="5"/>
      <c r="Y56" s="5"/>
      <c r="Z56" s="5"/>
    </row>
    <row r="57" customFormat="false" ht="24" hidden="false" customHeight="true" outlineLevel="0" collapsed="false">
      <c r="A57" s="5" t="s">
        <v>1745</v>
      </c>
      <c r="B57" s="5" t="s">
        <v>1746</v>
      </c>
      <c r="C57" s="5"/>
      <c r="D57" s="5"/>
      <c r="E57" s="5"/>
      <c r="F57" s="5"/>
      <c r="G57" s="5"/>
      <c r="H57" s="5"/>
      <c r="I57" s="5"/>
      <c r="J57" s="5"/>
      <c r="K57" s="5"/>
      <c r="L57" s="5"/>
      <c r="M57" s="5"/>
      <c r="N57" s="5"/>
      <c r="O57" s="5"/>
      <c r="P57" s="5"/>
      <c r="Q57" s="5"/>
      <c r="R57" s="5"/>
      <c r="S57" s="5"/>
      <c r="T57" s="5"/>
      <c r="U57" s="5"/>
      <c r="V57" s="5"/>
      <c r="W57" s="5"/>
      <c r="X57" s="5"/>
      <c r="Y57" s="5"/>
      <c r="Z57" s="5"/>
    </row>
    <row r="58" customFormat="false" ht="14.25" hidden="false" customHeight="true" outlineLevel="0" collapsed="false">
      <c r="A58" s="5" t="s">
        <v>1747</v>
      </c>
      <c r="B58" s="5" t="s">
        <v>1748</v>
      </c>
      <c r="C58" s="5"/>
      <c r="D58" s="5"/>
      <c r="E58" s="5"/>
      <c r="F58" s="5"/>
      <c r="G58" s="5"/>
      <c r="H58" s="5"/>
      <c r="I58" s="5"/>
      <c r="J58" s="5"/>
      <c r="K58" s="5"/>
      <c r="L58" s="5"/>
      <c r="M58" s="5"/>
      <c r="N58" s="5"/>
      <c r="O58" s="5"/>
      <c r="P58" s="5"/>
      <c r="Q58" s="5"/>
      <c r="R58" s="5"/>
      <c r="S58" s="5"/>
      <c r="T58" s="5"/>
      <c r="U58" s="5"/>
      <c r="V58" s="5"/>
      <c r="W58" s="5"/>
      <c r="X58" s="5"/>
      <c r="Y58" s="5"/>
      <c r="Z58" s="5"/>
    </row>
    <row r="59" customFormat="false" ht="14.25" hidden="false" customHeight="true" outlineLevel="0" collapsed="false">
      <c r="A59" s="5" t="s">
        <v>1749</v>
      </c>
      <c r="B59" s="5" t="s">
        <v>1750</v>
      </c>
      <c r="C59" s="5"/>
      <c r="D59" s="5"/>
      <c r="E59" s="5"/>
      <c r="F59" s="5"/>
      <c r="G59" s="5"/>
      <c r="H59" s="5"/>
      <c r="I59" s="5"/>
      <c r="J59" s="5"/>
      <c r="K59" s="5"/>
      <c r="L59" s="5"/>
      <c r="M59" s="5"/>
      <c r="N59" s="5"/>
      <c r="O59" s="5"/>
      <c r="P59" s="5"/>
      <c r="Q59" s="5"/>
      <c r="R59" s="5"/>
      <c r="S59" s="5"/>
      <c r="T59" s="5"/>
      <c r="U59" s="5"/>
      <c r="V59" s="5"/>
      <c r="W59" s="5"/>
      <c r="X59" s="5"/>
      <c r="Y59" s="5"/>
      <c r="Z59" s="5"/>
    </row>
    <row r="60" customFormat="false" ht="60" hidden="false" customHeight="true" outlineLevel="0" collapsed="false">
      <c r="A60" s="5" t="s">
        <v>46</v>
      </c>
      <c r="B60" s="5" t="s">
        <v>49</v>
      </c>
      <c r="C60" s="5"/>
      <c r="D60" s="5"/>
      <c r="E60" s="5"/>
      <c r="F60" s="5"/>
      <c r="G60" s="5"/>
      <c r="H60" s="5"/>
      <c r="I60" s="5"/>
      <c r="J60" s="5"/>
      <c r="K60" s="5"/>
      <c r="L60" s="5"/>
      <c r="M60" s="5"/>
      <c r="N60" s="5"/>
      <c r="O60" s="5"/>
      <c r="P60" s="5"/>
      <c r="Q60" s="5"/>
      <c r="R60" s="5"/>
      <c r="S60" s="5"/>
      <c r="T60" s="5"/>
      <c r="U60" s="5"/>
      <c r="V60" s="5"/>
      <c r="W60" s="5"/>
      <c r="X60" s="5"/>
      <c r="Y60" s="5"/>
      <c r="Z60" s="5"/>
    </row>
    <row r="61" customFormat="false" ht="48" hidden="false" customHeight="true" outlineLevel="0" collapsed="false">
      <c r="A61" s="5" t="s">
        <v>1751</v>
      </c>
      <c r="B61" s="5" t="s">
        <v>1752</v>
      </c>
      <c r="C61" s="5"/>
      <c r="D61" s="5"/>
      <c r="E61" s="5"/>
      <c r="F61" s="5"/>
      <c r="G61" s="5"/>
      <c r="H61" s="5"/>
      <c r="I61" s="5"/>
      <c r="J61" s="5"/>
      <c r="K61" s="5"/>
      <c r="L61" s="5"/>
      <c r="M61" s="5"/>
      <c r="N61" s="5"/>
      <c r="O61" s="5"/>
      <c r="P61" s="5"/>
      <c r="Q61" s="5"/>
      <c r="R61" s="5"/>
      <c r="S61" s="5"/>
      <c r="T61" s="5"/>
      <c r="U61" s="5"/>
      <c r="V61" s="5"/>
      <c r="W61" s="5"/>
      <c r="X61" s="5"/>
      <c r="Y61" s="5"/>
      <c r="Z61" s="5"/>
    </row>
    <row r="62" customFormat="false" ht="14.25" hidden="false" customHeight="true" outlineLevel="0" collapsed="false">
      <c r="A62" s="5" t="s">
        <v>1753</v>
      </c>
      <c r="B62" s="5"/>
      <c r="C62" s="5"/>
      <c r="D62" s="5"/>
      <c r="E62" s="5"/>
      <c r="F62" s="5"/>
      <c r="G62" s="5"/>
      <c r="H62" s="5"/>
      <c r="I62" s="5"/>
      <c r="J62" s="5"/>
      <c r="K62" s="5"/>
      <c r="L62" s="5"/>
      <c r="M62" s="5"/>
      <c r="N62" s="5"/>
      <c r="O62" s="5"/>
      <c r="P62" s="5"/>
      <c r="Q62" s="5"/>
      <c r="R62" s="5"/>
      <c r="S62" s="5"/>
      <c r="T62" s="5"/>
      <c r="U62" s="5"/>
      <c r="V62" s="5"/>
      <c r="W62" s="5"/>
      <c r="X62" s="5"/>
      <c r="Y62" s="5"/>
      <c r="Z62" s="5"/>
    </row>
    <row r="63" customFormat="false" ht="14.25" hidden="false" customHeight="true" outlineLevel="0" collapsed="false">
      <c r="A63" s="5" t="s">
        <v>1754</v>
      </c>
      <c r="B63" s="5" t="s">
        <v>1755</v>
      </c>
      <c r="C63" s="5"/>
      <c r="D63" s="5"/>
      <c r="E63" s="5"/>
      <c r="F63" s="5"/>
      <c r="G63" s="5"/>
      <c r="H63" s="5"/>
      <c r="I63" s="5"/>
      <c r="J63" s="5"/>
      <c r="K63" s="5"/>
      <c r="L63" s="5"/>
      <c r="M63" s="5"/>
      <c r="N63" s="5"/>
      <c r="O63" s="5"/>
      <c r="P63" s="5"/>
      <c r="Q63" s="5"/>
      <c r="R63" s="5"/>
      <c r="S63" s="5"/>
      <c r="T63" s="5"/>
      <c r="U63" s="5"/>
      <c r="V63" s="5"/>
      <c r="W63" s="5"/>
      <c r="X63" s="5"/>
      <c r="Y63" s="5"/>
      <c r="Z63" s="5"/>
    </row>
    <row r="64" customFormat="false" ht="24" hidden="false" customHeight="true" outlineLevel="0" collapsed="false">
      <c r="A64" s="5" t="s">
        <v>1756</v>
      </c>
      <c r="B64" s="5" t="s">
        <v>1757</v>
      </c>
      <c r="C64" s="5"/>
      <c r="D64" s="5"/>
      <c r="E64" s="5"/>
      <c r="F64" s="5"/>
      <c r="G64" s="5"/>
      <c r="H64" s="5"/>
      <c r="I64" s="5"/>
      <c r="J64" s="5"/>
      <c r="K64" s="5"/>
      <c r="L64" s="5"/>
      <c r="M64" s="5"/>
      <c r="N64" s="5"/>
      <c r="O64" s="5"/>
      <c r="P64" s="5"/>
      <c r="Q64" s="5"/>
      <c r="R64" s="5"/>
      <c r="S64" s="5"/>
      <c r="T64" s="5"/>
      <c r="U64" s="5"/>
      <c r="V64" s="5"/>
      <c r="W64" s="5"/>
      <c r="X64" s="5"/>
      <c r="Y64" s="5"/>
      <c r="Z64" s="5"/>
    </row>
    <row r="65" customFormat="false" ht="14.25" hidden="false" customHeight="true" outlineLevel="0" collapsed="false">
      <c r="A65" s="5" t="s">
        <v>1002</v>
      </c>
      <c r="B65" s="5" t="s">
        <v>982</v>
      </c>
      <c r="C65" s="5"/>
      <c r="D65" s="5"/>
      <c r="E65" s="5"/>
      <c r="F65" s="5"/>
      <c r="G65" s="5"/>
      <c r="H65" s="5"/>
      <c r="I65" s="5"/>
      <c r="J65" s="5"/>
      <c r="K65" s="5"/>
      <c r="L65" s="5"/>
      <c r="M65" s="5"/>
      <c r="N65" s="5"/>
      <c r="O65" s="5"/>
      <c r="P65" s="5"/>
      <c r="Q65" s="5"/>
      <c r="R65" s="5"/>
      <c r="S65" s="5"/>
      <c r="T65" s="5"/>
      <c r="U65" s="5"/>
      <c r="V65" s="5"/>
      <c r="W65" s="5"/>
      <c r="X65" s="5"/>
      <c r="Y65" s="5"/>
      <c r="Z65" s="5"/>
    </row>
    <row r="66" customFormat="false" ht="14.25" hidden="false" customHeight="true" outlineLevel="0" collapsed="false">
      <c r="A66" s="5" t="s">
        <v>1249</v>
      </c>
      <c r="B66" s="5" t="s">
        <v>1758</v>
      </c>
      <c r="C66" s="5"/>
      <c r="D66" s="5"/>
      <c r="E66" s="5"/>
      <c r="F66" s="5"/>
      <c r="G66" s="5"/>
      <c r="H66" s="5"/>
      <c r="I66" s="5"/>
      <c r="J66" s="5"/>
      <c r="K66" s="5"/>
      <c r="L66" s="5"/>
      <c r="M66" s="5"/>
      <c r="N66" s="5"/>
      <c r="O66" s="5"/>
      <c r="P66" s="5"/>
      <c r="Q66" s="5"/>
      <c r="R66" s="5"/>
      <c r="S66" s="5"/>
      <c r="T66" s="5"/>
      <c r="U66" s="5"/>
      <c r="V66" s="5"/>
      <c r="W66" s="5"/>
      <c r="X66" s="5"/>
      <c r="Y66" s="5"/>
      <c r="Z66" s="5"/>
    </row>
    <row r="67" customFormat="false" ht="14.25" hidden="false" customHeight="true" outlineLevel="0" collapsed="false">
      <c r="A67" s="5" t="s">
        <v>1759</v>
      </c>
      <c r="B67" s="5" t="str">
        <f aca="false">IF(ReferenceStructureRecord!Z2="COMPLETE","YES","NO")</f>
        <v>YES</v>
      </c>
      <c r="C67" s="5"/>
      <c r="D67" s="5"/>
      <c r="E67" s="5"/>
      <c r="F67" s="5"/>
      <c r="G67" s="5"/>
      <c r="H67" s="5"/>
      <c r="I67" s="5"/>
      <c r="J67" s="5"/>
      <c r="K67" s="5"/>
      <c r="L67" s="5"/>
      <c r="M67" s="5"/>
      <c r="N67" s="5"/>
      <c r="O67" s="5"/>
      <c r="P67" s="5"/>
      <c r="Q67" s="5"/>
      <c r="R67" s="5"/>
      <c r="S67" s="5"/>
      <c r="T67" s="5"/>
      <c r="U67" s="5"/>
      <c r="V67" s="5"/>
      <c r="W67" s="5"/>
      <c r="X67" s="5"/>
      <c r="Y67" s="5"/>
      <c r="Z67" s="5"/>
    </row>
    <row r="68" customFormat="false" ht="14.25" hidden="false" customHeight="true" outlineLevel="0" collapsed="false">
      <c r="A68" s="5" t="s">
        <v>1760</v>
      </c>
      <c r="B68" s="5" t="str">
        <f aca="false">ReferenceStructureRecord!Z2</f>
        <v>COMPLETE</v>
      </c>
      <c r="C68" s="5"/>
      <c r="D68" s="5"/>
      <c r="E68" s="5"/>
      <c r="F68" s="5"/>
      <c r="G68" s="5"/>
      <c r="H68" s="5"/>
      <c r="I68" s="5"/>
      <c r="J68" s="5"/>
      <c r="K68" s="5"/>
      <c r="L68" s="5"/>
      <c r="M68" s="5"/>
      <c r="N68" s="5"/>
      <c r="O68" s="5"/>
      <c r="P68" s="5"/>
      <c r="Q68" s="5"/>
      <c r="R68" s="5"/>
      <c r="S68" s="5"/>
      <c r="T68" s="5"/>
      <c r="U68" s="5"/>
      <c r="V68" s="5"/>
      <c r="W68" s="5"/>
      <c r="X68" s="5"/>
      <c r="Y68" s="5"/>
      <c r="Z68" s="5"/>
    </row>
    <row r="69" customFormat="false" ht="36" hidden="false" customHeight="true" outlineLevel="0" collapsed="false">
      <c r="A69" s="5" t="s">
        <v>1761</v>
      </c>
      <c r="B69" s="5" t="s">
        <v>1762</v>
      </c>
      <c r="C69" s="5"/>
      <c r="D69" s="5"/>
      <c r="E69" s="5"/>
      <c r="F69" s="5"/>
      <c r="G69" s="5"/>
      <c r="H69" s="5"/>
      <c r="I69" s="5"/>
      <c r="J69" s="5"/>
      <c r="K69" s="5"/>
      <c r="L69" s="5"/>
      <c r="M69" s="5"/>
      <c r="N69" s="5"/>
      <c r="O69" s="5"/>
      <c r="P69" s="5"/>
      <c r="Q69" s="5"/>
      <c r="R69" s="5"/>
      <c r="S69" s="5"/>
      <c r="T69" s="5"/>
      <c r="U69" s="5"/>
      <c r="V69" s="5"/>
      <c r="W69" s="5"/>
      <c r="X69" s="5"/>
      <c r="Y69" s="5"/>
      <c r="Z69" s="5"/>
    </row>
    <row r="70" customFormat="false" ht="24" hidden="false" customHeight="true" outlineLevel="0" collapsed="false">
      <c r="A70" s="5" t="s">
        <v>1763</v>
      </c>
      <c r="B70" s="5" t="s">
        <v>1764</v>
      </c>
      <c r="C70" s="5"/>
      <c r="D70" s="5"/>
      <c r="E70" s="5"/>
      <c r="F70" s="5"/>
      <c r="G70" s="5"/>
      <c r="H70" s="5"/>
      <c r="I70" s="5"/>
      <c r="J70" s="5"/>
      <c r="K70" s="5"/>
      <c r="L70" s="5"/>
      <c r="M70" s="5"/>
      <c r="N70" s="5"/>
      <c r="O70" s="5"/>
      <c r="P70" s="5"/>
      <c r="Q70" s="5"/>
      <c r="R70" s="5"/>
      <c r="S70" s="5"/>
      <c r="T70" s="5"/>
      <c r="U70" s="5"/>
      <c r="V70" s="5"/>
      <c r="W70" s="5"/>
      <c r="X70" s="5"/>
      <c r="Y70" s="5"/>
      <c r="Z70" s="5"/>
    </row>
    <row r="71" customFormat="false" ht="14.25" hidden="false" customHeight="true" outlineLevel="0" collapsed="false">
      <c r="A71" s="5"/>
      <c r="B71" s="5"/>
      <c r="C71" s="5"/>
      <c r="D71" s="5"/>
      <c r="E71" s="5"/>
      <c r="F71" s="5"/>
      <c r="G71" s="5"/>
      <c r="H71" s="5"/>
      <c r="I71" s="5"/>
      <c r="J71" s="5"/>
      <c r="K71" s="5"/>
      <c r="L71" s="5"/>
      <c r="M71" s="5"/>
      <c r="N71" s="5"/>
      <c r="O71" s="5"/>
      <c r="P71" s="5"/>
      <c r="Q71" s="5"/>
      <c r="R71" s="5"/>
      <c r="S71" s="5"/>
      <c r="T71" s="5"/>
      <c r="U71" s="5"/>
      <c r="V71" s="5"/>
      <c r="W71" s="5"/>
      <c r="X71" s="5"/>
      <c r="Y71" s="5"/>
      <c r="Z71" s="5"/>
    </row>
    <row r="72" customFormat="false" ht="14.25" hidden="false" customHeight="true" outlineLevel="0" collapsed="false">
      <c r="A72" s="5"/>
      <c r="B72" s="5"/>
      <c r="C72" s="5"/>
      <c r="D72" s="5"/>
      <c r="E72" s="5"/>
      <c r="F72" s="5"/>
      <c r="G72" s="5"/>
      <c r="H72" s="5"/>
      <c r="I72" s="5"/>
      <c r="J72" s="5"/>
      <c r="K72" s="5"/>
      <c r="L72" s="5"/>
      <c r="M72" s="5"/>
      <c r="N72" s="5"/>
      <c r="O72" s="5"/>
      <c r="P72" s="5"/>
      <c r="Q72" s="5"/>
      <c r="R72" s="5"/>
      <c r="S72" s="5"/>
      <c r="T72" s="5"/>
      <c r="U72" s="5"/>
      <c r="V72" s="5"/>
      <c r="W72" s="5"/>
      <c r="X72" s="5"/>
      <c r="Y72" s="5"/>
      <c r="Z72" s="5"/>
    </row>
    <row r="73" customFormat="false" ht="14.25" hidden="false" customHeight="true" outlineLevel="0" collapsed="false">
      <c r="A73" s="5"/>
      <c r="B73" s="5"/>
      <c r="C73" s="5"/>
      <c r="D73" s="5"/>
      <c r="E73" s="5"/>
      <c r="F73" s="5"/>
      <c r="G73" s="5"/>
      <c r="H73" s="5"/>
      <c r="I73" s="5"/>
      <c r="J73" s="5"/>
      <c r="K73" s="5"/>
      <c r="L73" s="5"/>
      <c r="M73" s="5"/>
      <c r="N73" s="5"/>
      <c r="O73" s="5"/>
      <c r="P73" s="5"/>
      <c r="Q73" s="5"/>
      <c r="R73" s="5"/>
      <c r="S73" s="5"/>
      <c r="T73" s="5"/>
      <c r="U73" s="5"/>
      <c r="V73" s="5"/>
      <c r="W73" s="5"/>
      <c r="X73" s="5"/>
      <c r="Y73" s="5"/>
      <c r="Z73" s="5"/>
    </row>
    <row r="74" customFormat="false" ht="14.25" hidden="false" customHeight="true" outlineLevel="0" collapsed="false">
      <c r="A74" s="5"/>
      <c r="B74" s="5"/>
      <c r="C74" s="5"/>
      <c r="D74" s="5"/>
      <c r="E74" s="5"/>
      <c r="F74" s="5"/>
      <c r="G74" s="5"/>
      <c r="H74" s="5"/>
      <c r="I74" s="5"/>
      <c r="J74" s="5"/>
      <c r="K74" s="5"/>
      <c r="L74" s="5"/>
      <c r="M74" s="5"/>
      <c r="N74" s="5"/>
      <c r="O74" s="5"/>
      <c r="P74" s="5"/>
      <c r="Q74" s="5"/>
      <c r="R74" s="5"/>
      <c r="S74" s="5"/>
      <c r="T74" s="5"/>
      <c r="U74" s="5"/>
      <c r="V74" s="5"/>
      <c r="W74" s="5"/>
      <c r="X74" s="5"/>
      <c r="Y74" s="5"/>
      <c r="Z74" s="5"/>
    </row>
    <row r="75" customFormat="false" ht="14.25" hidden="false" customHeight="true" outlineLevel="0" collapsed="false">
      <c r="A75" s="5"/>
      <c r="B75" s="5"/>
      <c r="C75" s="5"/>
      <c r="D75" s="5"/>
      <c r="E75" s="5"/>
      <c r="F75" s="5"/>
      <c r="G75" s="5"/>
      <c r="H75" s="5"/>
      <c r="I75" s="5"/>
      <c r="J75" s="5"/>
      <c r="K75" s="5"/>
      <c r="L75" s="5"/>
      <c r="M75" s="5"/>
      <c r="N75" s="5"/>
      <c r="O75" s="5"/>
      <c r="P75" s="5"/>
      <c r="Q75" s="5"/>
      <c r="R75" s="5"/>
      <c r="S75" s="5"/>
      <c r="T75" s="5"/>
      <c r="U75" s="5"/>
      <c r="V75" s="5"/>
      <c r="W75" s="5"/>
      <c r="X75" s="5"/>
      <c r="Y75" s="5"/>
      <c r="Z75" s="5"/>
    </row>
    <row r="76" customFormat="false" ht="14.25" hidden="false" customHeight="true" outlineLevel="0" collapsed="false">
      <c r="A76" s="5"/>
      <c r="B76" s="5"/>
      <c r="C76" s="5"/>
      <c r="D76" s="5"/>
      <c r="E76" s="5"/>
      <c r="F76" s="5"/>
      <c r="G76" s="5"/>
      <c r="H76" s="5"/>
      <c r="I76" s="5"/>
      <c r="J76" s="5"/>
      <c r="K76" s="5"/>
      <c r="L76" s="5"/>
      <c r="M76" s="5"/>
      <c r="N76" s="5"/>
      <c r="O76" s="5"/>
      <c r="P76" s="5"/>
      <c r="Q76" s="5"/>
      <c r="R76" s="5"/>
      <c r="S76" s="5"/>
      <c r="T76" s="5"/>
      <c r="U76" s="5"/>
      <c r="V76" s="5"/>
      <c r="W76" s="5"/>
      <c r="X76" s="5"/>
      <c r="Y76" s="5"/>
      <c r="Z76" s="5"/>
    </row>
    <row r="77" customFormat="false" ht="14.25" hidden="false" customHeight="true" outlineLevel="0" collapsed="false">
      <c r="A77" s="5"/>
      <c r="B77" s="5"/>
      <c r="C77" s="5"/>
      <c r="D77" s="5"/>
      <c r="E77" s="5"/>
      <c r="F77" s="5"/>
      <c r="G77" s="5"/>
      <c r="H77" s="5"/>
      <c r="I77" s="5"/>
      <c r="J77" s="5"/>
      <c r="K77" s="5"/>
      <c r="L77" s="5"/>
      <c r="M77" s="5"/>
      <c r="N77" s="5"/>
      <c r="O77" s="5"/>
      <c r="P77" s="5"/>
      <c r="Q77" s="5"/>
      <c r="R77" s="5"/>
      <c r="S77" s="5"/>
      <c r="T77" s="5"/>
      <c r="U77" s="5"/>
      <c r="V77" s="5"/>
      <c r="W77" s="5"/>
      <c r="X77" s="5"/>
      <c r="Y77" s="5"/>
      <c r="Z77" s="5"/>
    </row>
    <row r="78" customFormat="false" ht="14.25" hidden="false" customHeight="true" outlineLevel="0" collapsed="false">
      <c r="A78" s="5"/>
      <c r="B78" s="5"/>
      <c r="C78" s="5"/>
      <c r="D78" s="5"/>
      <c r="E78" s="5"/>
      <c r="F78" s="5"/>
      <c r="G78" s="5"/>
      <c r="H78" s="5"/>
      <c r="I78" s="5"/>
      <c r="J78" s="5"/>
      <c r="K78" s="5"/>
      <c r="L78" s="5"/>
      <c r="M78" s="5"/>
      <c r="N78" s="5"/>
      <c r="O78" s="5"/>
      <c r="P78" s="5"/>
      <c r="Q78" s="5"/>
      <c r="R78" s="5"/>
      <c r="S78" s="5"/>
      <c r="T78" s="5"/>
      <c r="U78" s="5"/>
      <c r="V78" s="5"/>
      <c r="W78" s="5"/>
      <c r="X78" s="5"/>
      <c r="Y78" s="5"/>
      <c r="Z78" s="5"/>
    </row>
    <row r="79" customFormat="false" ht="14.25" hidden="false" customHeight="true" outlineLevel="0" collapsed="false">
      <c r="A79" s="5"/>
      <c r="B79" s="5"/>
      <c r="C79" s="5"/>
      <c r="D79" s="5"/>
      <c r="E79" s="5"/>
      <c r="F79" s="5"/>
      <c r="G79" s="5"/>
      <c r="H79" s="5"/>
      <c r="I79" s="5"/>
      <c r="J79" s="5"/>
      <c r="K79" s="5"/>
      <c r="L79" s="5"/>
      <c r="M79" s="5"/>
      <c r="N79" s="5"/>
      <c r="O79" s="5"/>
      <c r="P79" s="5"/>
      <c r="Q79" s="5"/>
      <c r="R79" s="5"/>
      <c r="S79" s="5"/>
      <c r="T79" s="5"/>
      <c r="U79" s="5"/>
      <c r="V79" s="5"/>
      <c r="W79" s="5"/>
      <c r="X79" s="5"/>
      <c r="Y79" s="5"/>
      <c r="Z79" s="5"/>
    </row>
    <row r="80" customFormat="false" ht="14.25" hidden="false" customHeight="true" outlineLevel="0" collapsed="false">
      <c r="A80" s="5"/>
      <c r="B80" s="5"/>
      <c r="C80" s="5"/>
      <c r="D80" s="5"/>
      <c r="E80" s="5"/>
      <c r="F80" s="5"/>
      <c r="G80" s="5"/>
      <c r="H80" s="5"/>
      <c r="I80" s="5"/>
      <c r="J80" s="5"/>
      <c r="K80" s="5"/>
      <c r="L80" s="5"/>
      <c r="M80" s="5"/>
      <c r="N80" s="5"/>
      <c r="O80" s="5"/>
      <c r="P80" s="5"/>
      <c r="Q80" s="5"/>
      <c r="R80" s="5"/>
      <c r="S80" s="5"/>
      <c r="T80" s="5"/>
      <c r="U80" s="5"/>
      <c r="V80" s="5"/>
      <c r="W80" s="5"/>
      <c r="X80" s="5"/>
      <c r="Y80" s="5"/>
      <c r="Z80" s="5"/>
    </row>
    <row r="81" customFormat="false" ht="14.25" hidden="false" customHeight="true" outlineLevel="0" collapsed="false">
      <c r="A81" s="5"/>
      <c r="B81" s="5"/>
      <c r="C81" s="5"/>
      <c r="D81" s="5"/>
      <c r="E81" s="5"/>
      <c r="F81" s="5"/>
      <c r="G81" s="5"/>
      <c r="H81" s="5"/>
      <c r="I81" s="5"/>
      <c r="J81" s="5"/>
      <c r="K81" s="5"/>
      <c r="L81" s="5"/>
      <c r="M81" s="5"/>
      <c r="N81" s="5"/>
      <c r="O81" s="5"/>
      <c r="P81" s="5"/>
      <c r="Q81" s="5"/>
      <c r="R81" s="5"/>
      <c r="S81" s="5"/>
      <c r="T81" s="5"/>
      <c r="U81" s="5"/>
      <c r="V81" s="5"/>
      <c r="W81" s="5"/>
      <c r="X81" s="5"/>
      <c r="Y81" s="5"/>
      <c r="Z81" s="5"/>
    </row>
    <row r="82" customFormat="false" ht="14.25" hidden="false" customHeight="true" outlineLevel="0" collapsed="false">
      <c r="A82" s="5"/>
      <c r="B82" s="5"/>
      <c r="C82" s="5"/>
      <c r="D82" s="5"/>
      <c r="E82" s="5"/>
      <c r="F82" s="5"/>
      <c r="G82" s="5"/>
      <c r="H82" s="5"/>
      <c r="I82" s="5"/>
      <c r="J82" s="5"/>
      <c r="K82" s="5"/>
      <c r="L82" s="5"/>
      <c r="M82" s="5"/>
      <c r="N82" s="5"/>
      <c r="O82" s="5"/>
      <c r="P82" s="5"/>
      <c r="Q82" s="5"/>
      <c r="R82" s="5"/>
      <c r="S82" s="5"/>
      <c r="T82" s="5"/>
      <c r="U82" s="5"/>
      <c r="V82" s="5"/>
      <c r="W82" s="5"/>
      <c r="X82" s="5"/>
      <c r="Y82" s="5"/>
      <c r="Z82" s="5"/>
    </row>
    <row r="83" customFormat="false" ht="14.25" hidden="false" customHeight="true" outlineLevel="0" collapsed="false">
      <c r="A83" s="5"/>
      <c r="B83" s="5"/>
      <c r="C83" s="5"/>
      <c r="D83" s="5"/>
      <c r="E83" s="5"/>
      <c r="F83" s="5"/>
      <c r="G83" s="5"/>
      <c r="H83" s="5"/>
      <c r="I83" s="5"/>
      <c r="J83" s="5"/>
      <c r="K83" s="5"/>
      <c r="L83" s="5"/>
      <c r="M83" s="5"/>
      <c r="N83" s="5"/>
      <c r="O83" s="5"/>
      <c r="P83" s="5"/>
      <c r="Q83" s="5"/>
      <c r="R83" s="5"/>
      <c r="S83" s="5"/>
      <c r="T83" s="5"/>
      <c r="U83" s="5"/>
      <c r="V83" s="5"/>
      <c r="W83" s="5"/>
      <c r="X83" s="5"/>
      <c r="Y83" s="5"/>
      <c r="Z83" s="5"/>
    </row>
    <row r="84" customFormat="false" ht="14.25" hidden="false" customHeight="true" outlineLevel="0" collapsed="false">
      <c r="A84" s="5"/>
      <c r="B84" s="5"/>
      <c r="C84" s="5"/>
      <c r="D84" s="5"/>
      <c r="E84" s="5"/>
      <c r="F84" s="5"/>
      <c r="G84" s="5"/>
      <c r="H84" s="5"/>
      <c r="I84" s="5"/>
      <c r="J84" s="5"/>
      <c r="K84" s="5"/>
      <c r="L84" s="5"/>
      <c r="M84" s="5"/>
      <c r="N84" s="5"/>
      <c r="O84" s="5"/>
      <c r="P84" s="5"/>
      <c r="Q84" s="5"/>
      <c r="R84" s="5"/>
      <c r="S84" s="5"/>
      <c r="T84" s="5"/>
      <c r="U84" s="5"/>
      <c r="V84" s="5"/>
      <c r="W84" s="5"/>
      <c r="X84" s="5"/>
      <c r="Y84" s="5"/>
      <c r="Z84" s="5"/>
    </row>
    <row r="85" customFormat="false" ht="14.25" hidden="false" customHeight="true" outlineLevel="0" collapsed="false">
      <c r="A85" s="5"/>
      <c r="B85" s="5"/>
      <c r="C85" s="5"/>
      <c r="D85" s="5"/>
      <c r="E85" s="5"/>
      <c r="F85" s="5"/>
      <c r="G85" s="5"/>
      <c r="H85" s="5"/>
      <c r="I85" s="5"/>
      <c r="J85" s="5"/>
      <c r="K85" s="5"/>
      <c r="L85" s="5"/>
      <c r="M85" s="5"/>
      <c r="N85" s="5"/>
      <c r="O85" s="5"/>
      <c r="P85" s="5"/>
      <c r="Q85" s="5"/>
      <c r="R85" s="5"/>
      <c r="S85" s="5"/>
      <c r="T85" s="5"/>
      <c r="U85" s="5"/>
      <c r="V85" s="5"/>
      <c r="W85" s="5"/>
      <c r="X85" s="5"/>
      <c r="Y85" s="5"/>
      <c r="Z85" s="5"/>
    </row>
    <row r="86" customFormat="false" ht="14.25" hidden="false" customHeight="true" outlineLevel="0" collapsed="false">
      <c r="A86" s="5"/>
      <c r="B86" s="5"/>
      <c r="C86" s="5"/>
      <c r="D86" s="5"/>
      <c r="E86" s="5"/>
      <c r="F86" s="5"/>
      <c r="G86" s="5"/>
      <c r="H86" s="5"/>
      <c r="I86" s="5"/>
      <c r="J86" s="5"/>
      <c r="K86" s="5"/>
      <c r="L86" s="5"/>
      <c r="M86" s="5"/>
      <c r="N86" s="5"/>
      <c r="O86" s="5"/>
      <c r="P86" s="5"/>
      <c r="Q86" s="5"/>
      <c r="R86" s="5"/>
      <c r="S86" s="5"/>
      <c r="T86" s="5"/>
      <c r="U86" s="5"/>
      <c r="V86" s="5"/>
      <c r="W86" s="5"/>
      <c r="X86" s="5"/>
      <c r="Y86" s="5"/>
      <c r="Z86" s="5"/>
    </row>
    <row r="87" customFormat="false" ht="14.25" hidden="false" customHeight="true" outlineLevel="0" collapsed="false">
      <c r="A87" s="5"/>
      <c r="B87" s="5"/>
      <c r="C87" s="5"/>
      <c r="D87" s="5"/>
      <c r="E87" s="5"/>
      <c r="F87" s="5"/>
      <c r="G87" s="5"/>
      <c r="H87" s="5"/>
      <c r="I87" s="5"/>
      <c r="J87" s="5"/>
      <c r="K87" s="5"/>
      <c r="L87" s="5"/>
      <c r="M87" s="5"/>
      <c r="N87" s="5"/>
      <c r="O87" s="5"/>
      <c r="P87" s="5"/>
      <c r="Q87" s="5"/>
      <c r="R87" s="5"/>
      <c r="S87" s="5"/>
      <c r="T87" s="5"/>
      <c r="U87" s="5"/>
      <c r="V87" s="5"/>
      <c r="W87" s="5"/>
      <c r="X87" s="5"/>
      <c r="Y87" s="5"/>
      <c r="Z87" s="5"/>
    </row>
    <row r="88" customFormat="false" ht="14.25" hidden="false" customHeight="true" outlineLevel="0" collapsed="false">
      <c r="A88" s="5"/>
      <c r="B88" s="5"/>
      <c r="C88" s="5"/>
      <c r="D88" s="5"/>
      <c r="E88" s="5"/>
      <c r="F88" s="5"/>
      <c r="G88" s="5"/>
      <c r="H88" s="5"/>
      <c r="I88" s="5"/>
      <c r="J88" s="5"/>
      <c r="K88" s="5"/>
      <c r="L88" s="5"/>
      <c r="M88" s="5"/>
      <c r="N88" s="5"/>
      <c r="O88" s="5"/>
      <c r="P88" s="5"/>
      <c r="Q88" s="5"/>
      <c r="R88" s="5"/>
      <c r="S88" s="5"/>
      <c r="T88" s="5"/>
      <c r="U88" s="5"/>
      <c r="V88" s="5"/>
      <c r="W88" s="5"/>
      <c r="X88" s="5"/>
      <c r="Y88" s="5"/>
      <c r="Z88" s="5"/>
    </row>
    <row r="89" customFormat="false" ht="14.25" hidden="false" customHeight="true" outlineLevel="0" collapsed="false">
      <c r="A89" s="5"/>
      <c r="B89" s="5"/>
      <c r="C89" s="5"/>
      <c r="D89" s="5"/>
      <c r="E89" s="5"/>
      <c r="F89" s="5"/>
      <c r="G89" s="5"/>
      <c r="H89" s="5"/>
      <c r="I89" s="5"/>
      <c r="J89" s="5"/>
      <c r="K89" s="5"/>
      <c r="L89" s="5"/>
      <c r="M89" s="5"/>
      <c r="N89" s="5"/>
      <c r="O89" s="5"/>
      <c r="P89" s="5"/>
      <c r="Q89" s="5"/>
      <c r="R89" s="5"/>
      <c r="S89" s="5"/>
      <c r="T89" s="5"/>
      <c r="U89" s="5"/>
      <c r="V89" s="5"/>
      <c r="W89" s="5"/>
      <c r="X89" s="5"/>
      <c r="Y89" s="5"/>
      <c r="Z89" s="5"/>
    </row>
    <row r="90" customFormat="false" ht="14.25" hidden="false" customHeight="true" outlineLevel="0" collapsed="false">
      <c r="A90" s="5"/>
      <c r="B90" s="5"/>
      <c r="C90" s="5"/>
      <c r="D90" s="5"/>
      <c r="E90" s="5"/>
      <c r="F90" s="5"/>
      <c r="G90" s="5"/>
      <c r="H90" s="5"/>
      <c r="I90" s="5"/>
      <c r="J90" s="5"/>
      <c r="K90" s="5"/>
      <c r="L90" s="5"/>
      <c r="M90" s="5"/>
      <c r="N90" s="5"/>
      <c r="O90" s="5"/>
      <c r="P90" s="5"/>
      <c r="Q90" s="5"/>
      <c r="R90" s="5"/>
      <c r="S90" s="5"/>
      <c r="T90" s="5"/>
      <c r="U90" s="5"/>
      <c r="V90" s="5"/>
      <c r="W90" s="5"/>
      <c r="X90" s="5"/>
      <c r="Y90" s="5"/>
      <c r="Z90" s="5"/>
    </row>
    <row r="91" customFormat="false" ht="14.25" hidden="false" customHeight="true" outlineLevel="0" collapsed="false">
      <c r="A91" s="5"/>
      <c r="B91" s="5"/>
      <c r="C91" s="5"/>
      <c r="D91" s="5"/>
      <c r="E91" s="5"/>
      <c r="F91" s="5"/>
      <c r="G91" s="5"/>
      <c r="H91" s="5"/>
      <c r="I91" s="5"/>
      <c r="J91" s="5"/>
      <c r="K91" s="5"/>
      <c r="L91" s="5"/>
      <c r="M91" s="5"/>
      <c r="N91" s="5"/>
      <c r="O91" s="5"/>
      <c r="P91" s="5"/>
      <c r="Q91" s="5"/>
      <c r="R91" s="5"/>
      <c r="S91" s="5"/>
      <c r="T91" s="5"/>
      <c r="U91" s="5"/>
      <c r="V91" s="5"/>
      <c r="W91" s="5"/>
      <c r="X91" s="5"/>
      <c r="Y91" s="5"/>
      <c r="Z91" s="5"/>
    </row>
    <row r="92" customFormat="false" ht="14.25" hidden="false" customHeight="true" outlineLevel="0" collapsed="false">
      <c r="A92" s="5"/>
      <c r="B92" s="5"/>
      <c r="C92" s="5"/>
      <c r="D92" s="5"/>
      <c r="E92" s="5"/>
      <c r="F92" s="5"/>
      <c r="G92" s="5"/>
      <c r="H92" s="5"/>
      <c r="I92" s="5"/>
      <c r="J92" s="5"/>
      <c r="K92" s="5"/>
      <c r="L92" s="5"/>
      <c r="M92" s="5"/>
      <c r="N92" s="5"/>
      <c r="O92" s="5"/>
      <c r="P92" s="5"/>
      <c r="Q92" s="5"/>
      <c r="R92" s="5"/>
      <c r="S92" s="5"/>
      <c r="T92" s="5"/>
      <c r="U92" s="5"/>
      <c r="V92" s="5"/>
      <c r="W92" s="5"/>
      <c r="X92" s="5"/>
      <c r="Y92" s="5"/>
      <c r="Z92" s="5"/>
    </row>
    <row r="93" customFormat="false" ht="14.25" hidden="false" customHeight="true" outlineLevel="0" collapsed="false">
      <c r="A93" s="5"/>
      <c r="B93" s="5"/>
      <c r="C93" s="5"/>
      <c r="D93" s="5"/>
      <c r="E93" s="5"/>
      <c r="F93" s="5"/>
      <c r="G93" s="5"/>
      <c r="H93" s="5"/>
      <c r="I93" s="5"/>
      <c r="J93" s="5"/>
      <c r="K93" s="5"/>
      <c r="L93" s="5"/>
      <c r="M93" s="5"/>
      <c r="N93" s="5"/>
      <c r="O93" s="5"/>
      <c r="P93" s="5"/>
      <c r="Q93" s="5"/>
      <c r="R93" s="5"/>
      <c r="S93" s="5"/>
      <c r="T93" s="5"/>
      <c r="U93" s="5"/>
      <c r="V93" s="5"/>
      <c r="W93" s="5"/>
      <c r="X93" s="5"/>
      <c r="Y93" s="5"/>
      <c r="Z93" s="5"/>
    </row>
    <row r="94" customFormat="false" ht="14.25" hidden="false" customHeight="true" outlineLevel="0" collapsed="false">
      <c r="A94" s="5"/>
      <c r="B94" s="5"/>
      <c r="C94" s="5"/>
      <c r="D94" s="5"/>
      <c r="E94" s="5"/>
      <c r="F94" s="5"/>
      <c r="G94" s="5"/>
      <c r="H94" s="5"/>
      <c r="I94" s="5"/>
      <c r="J94" s="5"/>
      <c r="K94" s="5"/>
      <c r="L94" s="5"/>
      <c r="M94" s="5"/>
      <c r="N94" s="5"/>
      <c r="O94" s="5"/>
      <c r="P94" s="5"/>
      <c r="Q94" s="5"/>
      <c r="R94" s="5"/>
      <c r="S94" s="5"/>
      <c r="T94" s="5"/>
      <c r="U94" s="5"/>
      <c r="V94" s="5"/>
      <c r="W94" s="5"/>
      <c r="X94" s="5"/>
      <c r="Y94" s="5"/>
      <c r="Z94" s="5"/>
    </row>
    <row r="95" customFormat="false" ht="14.25" hidden="false" customHeight="true" outlineLevel="0" collapsed="false">
      <c r="A95" s="5"/>
      <c r="B95" s="5"/>
      <c r="C95" s="5"/>
      <c r="D95" s="5"/>
      <c r="E95" s="5"/>
      <c r="F95" s="5"/>
      <c r="G95" s="5"/>
      <c r="H95" s="5"/>
      <c r="I95" s="5"/>
      <c r="J95" s="5"/>
      <c r="K95" s="5"/>
      <c r="L95" s="5"/>
      <c r="M95" s="5"/>
      <c r="N95" s="5"/>
      <c r="O95" s="5"/>
      <c r="P95" s="5"/>
      <c r="Q95" s="5"/>
      <c r="R95" s="5"/>
      <c r="S95" s="5"/>
      <c r="T95" s="5"/>
      <c r="U95" s="5"/>
      <c r="V95" s="5"/>
      <c r="W95" s="5"/>
      <c r="X95" s="5"/>
      <c r="Y95" s="5"/>
      <c r="Z95" s="5"/>
    </row>
    <row r="96" customFormat="false" ht="14.25" hidden="false" customHeight="true" outlineLevel="0" collapsed="false">
      <c r="A96" s="5"/>
      <c r="B96" s="5"/>
      <c r="C96" s="5"/>
      <c r="D96" s="5"/>
      <c r="E96" s="5"/>
      <c r="F96" s="5"/>
      <c r="G96" s="5"/>
      <c r="H96" s="5"/>
      <c r="I96" s="5"/>
      <c r="J96" s="5"/>
      <c r="K96" s="5"/>
      <c r="L96" s="5"/>
      <c r="M96" s="5"/>
      <c r="N96" s="5"/>
      <c r="O96" s="5"/>
      <c r="P96" s="5"/>
      <c r="Q96" s="5"/>
      <c r="R96" s="5"/>
      <c r="S96" s="5"/>
      <c r="T96" s="5"/>
      <c r="U96" s="5"/>
      <c r="V96" s="5"/>
      <c r="W96" s="5"/>
      <c r="X96" s="5"/>
      <c r="Y96" s="5"/>
      <c r="Z96" s="5"/>
    </row>
    <row r="97" customFormat="false" ht="14.25" hidden="false" customHeight="true" outlineLevel="0" collapsed="false">
      <c r="A97" s="5"/>
      <c r="B97" s="5"/>
      <c r="C97" s="5"/>
      <c r="D97" s="5"/>
      <c r="E97" s="5"/>
      <c r="F97" s="5"/>
      <c r="G97" s="5"/>
      <c r="H97" s="5"/>
      <c r="I97" s="5"/>
      <c r="J97" s="5"/>
      <c r="K97" s="5"/>
      <c r="L97" s="5"/>
      <c r="M97" s="5"/>
      <c r="N97" s="5"/>
      <c r="O97" s="5"/>
      <c r="P97" s="5"/>
      <c r="Q97" s="5"/>
      <c r="R97" s="5"/>
      <c r="S97" s="5"/>
      <c r="T97" s="5"/>
      <c r="U97" s="5"/>
      <c r="V97" s="5"/>
      <c r="W97" s="5"/>
      <c r="X97" s="5"/>
      <c r="Y97" s="5"/>
      <c r="Z97" s="5"/>
    </row>
    <row r="98" customFormat="false" ht="14.25" hidden="false" customHeight="true" outlineLevel="0" collapsed="false">
      <c r="A98" s="5"/>
      <c r="B98" s="5"/>
      <c r="C98" s="5"/>
      <c r="D98" s="5"/>
      <c r="E98" s="5"/>
      <c r="F98" s="5"/>
      <c r="G98" s="5"/>
      <c r="H98" s="5"/>
      <c r="I98" s="5"/>
      <c r="J98" s="5"/>
      <c r="K98" s="5"/>
      <c r="L98" s="5"/>
      <c r="M98" s="5"/>
      <c r="N98" s="5"/>
      <c r="O98" s="5"/>
      <c r="P98" s="5"/>
      <c r="Q98" s="5"/>
      <c r="R98" s="5"/>
      <c r="S98" s="5"/>
      <c r="T98" s="5"/>
      <c r="U98" s="5"/>
      <c r="V98" s="5"/>
      <c r="W98" s="5"/>
      <c r="X98" s="5"/>
      <c r="Y98" s="5"/>
      <c r="Z98" s="5"/>
    </row>
    <row r="99" customFormat="false" ht="14.25" hidden="false" customHeight="true" outlineLevel="0" collapsed="false">
      <c r="A99" s="5"/>
      <c r="B99" s="5"/>
      <c r="C99" s="5"/>
      <c r="D99" s="5"/>
      <c r="E99" s="5"/>
      <c r="F99" s="5"/>
      <c r="G99" s="5"/>
      <c r="H99" s="5"/>
      <c r="I99" s="5"/>
      <c r="J99" s="5"/>
      <c r="K99" s="5"/>
      <c r="L99" s="5"/>
      <c r="M99" s="5"/>
      <c r="N99" s="5"/>
      <c r="O99" s="5"/>
      <c r="P99" s="5"/>
      <c r="Q99" s="5"/>
      <c r="R99" s="5"/>
      <c r="S99" s="5"/>
      <c r="T99" s="5"/>
      <c r="U99" s="5"/>
      <c r="V99" s="5"/>
      <c r="W99" s="5"/>
      <c r="X99" s="5"/>
      <c r="Y99" s="5"/>
      <c r="Z99" s="5"/>
    </row>
    <row r="100" customFormat="false" ht="14.25" hidden="false" customHeight="true" outlineLevel="0" collapsed="false">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5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4.25" customHeight="true" zeroHeight="false" outlineLevelRow="0" outlineLevelCol="0"/>
  <cols>
    <col collapsed="false" customWidth="true" hidden="false" outlineLevel="0" max="5" min="1" style="20" width="36"/>
    <col collapsed="false" customWidth="true" hidden="false" outlineLevel="0" max="6" min="6" style="1" width="36"/>
    <col collapsed="false" customWidth="true" hidden="false" outlineLevel="0" max="8" min="7" style="1" width="23"/>
    <col collapsed="false" customWidth="true" hidden="false" outlineLevel="0" max="9" min="9" style="1" width="29"/>
    <col collapsed="false" customWidth="true" hidden="false" outlineLevel="0" max="10" min="10" style="1" width="33"/>
    <col collapsed="false" customWidth="true" hidden="false" outlineLevel="0" max="11" min="11" style="2" width="28"/>
    <col collapsed="false" customWidth="true" hidden="false" outlineLevel="0" max="12" min="12" style="2" width="36"/>
  </cols>
  <sheetData>
    <row r="1" customFormat="false" ht="26.25" hidden="false" customHeight="true" outlineLevel="0" collapsed="false">
      <c r="A1" s="3" t="s">
        <v>1765</v>
      </c>
      <c r="B1" s="3"/>
      <c r="C1" s="3"/>
      <c r="D1" s="3"/>
      <c r="E1" s="3"/>
      <c r="F1" s="3"/>
      <c r="G1" s="3"/>
      <c r="H1" s="3"/>
      <c r="I1" s="3"/>
      <c r="J1" s="3"/>
      <c r="K1" s="3"/>
      <c r="L1" s="3"/>
    </row>
    <row r="2" customFormat="false" ht="26.25" hidden="false" customHeight="true" outlineLevel="0" collapsed="false">
      <c r="A2" s="7" t="s">
        <v>1766</v>
      </c>
      <c r="B2" s="5"/>
      <c r="C2" s="5"/>
      <c r="D2" s="5"/>
      <c r="E2" s="5"/>
      <c r="F2" s="5"/>
      <c r="G2" s="5"/>
      <c r="H2" s="5"/>
      <c r="I2" s="5"/>
      <c r="J2" s="5"/>
      <c r="K2" s="5"/>
      <c r="L2" s="5"/>
    </row>
    <row r="3" customFormat="false" ht="26.25" hidden="false" customHeight="true" outlineLevel="0" collapsed="false">
      <c r="A3" s="23" t="s">
        <v>1767</v>
      </c>
      <c r="B3" s="23"/>
      <c r="C3" s="23"/>
      <c r="D3" s="23"/>
      <c r="E3" s="23"/>
      <c r="F3" s="5"/>
      <c r="G3" s="5"/>
      <c r="H3" s="5"/>
      <c r="I3" s="5"/>
      <c r="J3" s="5"/>
      <c r="K3" s="5"/>
      <c r="L3" s="5"/>
    </row>
    <row r="4" customFormat="false" ht="14.25" hidden="false" customHeight="true" outlineLevel="0" collapsed="false">
      <c r="A4" s="10" t="s">
        <v>1768</v>
      </c>
      <c r="B4" s="10" t="s">
        <v>1769</v>
      </c>
      <c r="C4" s="94" t="s">
        <v>1770</v>
      </c>
      <c r="D4" s="10" t="s">
        <v>821</v>
      </c>
      <c r="E4" s="10" t="s">
        <v>1771</v>
      </c>
      <c r="F4" s="10" t="s">
        <v>353</v>
      </c>
      <c r="G4" s="10" t="s">
        <v>1772</v>
      </c>
      <c r="H4" s="10" t="s">
        <v>1773</v>
      </c>
      <c r="I4" s="5"/>
      <c r="J4" s="5"/>
      <c r="K4" s="5"/>
      <c r="L4" s="5"/>
    </row>
    <row r="5" customFormat="false" ht="39" hidden="false" customHeight="true" outlineLevel="0" collapsed="false">
      <c r="A5" s="7" t="s">
        <v>1774</v>
      </c>
      <c r="B5" s="34" t="str">
        <f aca="false">IF(AND(CANON!B13=1,CANON!B76&gt;0),"YES","NO")</f>
        <v>NO</v>
      </c>
      <c r="C5" s="95" t="s">
        <v>1775</v>
      </c>
      <c r="D5" s="7" t="s">
        <v>1776</v>
      </c>
      <c r="E5" s="7" t="str">
        <f aca="false">IF(AND(CANON!$B$13=1,CANON!$B$76&gt;0),"YES","NO")</f>
        <v>NO</v>
      </c>
      <c r="F5" s="7" t="s">
        <v>1777</v>
      </c>
      <c r="G5" s="7" t="str">
        <f aca="false">IF(B5="YES",A5,"")</f>
        <v/>
      </c>
      <c r="H5" s="7" t="str">
        <f aca="false">IF(B5="YES",C5,"")</f>
        <v/>
      </c>
      <c r="I5" s="7" t="str">
        <f aca="false">IF($H5="INVALID",$G5,"")</f>
        <v/>
      </c>
      <c r="J5" s="7" t="str">
        <f aca="false">IF($H5="ESCALATE",$G5,"")</f>
        <v/>
      </c>
      <c r="K5" s="7" t="str">
        <f aca="false">IF($H5="REVIEW",$G5,"")</f>
        <v/>
      </c>
      <c r="L5" s="7" t="str">
        <f aca="false">IF($G5&lt;&gt;"",$G5&amp;" ("&amp;$H5&amp;")","")</f>
        <v/>
      </c>
    </row>
    <row r="6" customFormat="false" ht="26.25" hidden="false" customHeight="true" outlineLevel="0" collapsed="false">
      <c r="A6" s="7" t="s">
        <v>1778</v>
      </c>
      <c r="B6" s="34" t="str">
        <f aca="false">IF(WTSL_Categories!$B$17 &lt; WTSL_Categories!$B$16,"YES","NO")</f>
        <v>NO</v>
      </c>
      <c r="C6" s="95" t="s">
        <v>1121</v>
      </c>
      <c r="D6" s="7" t="s">
        <v>1779</v>
      </c>
      <c r="E6" s="7" t="str">
        <f aca="false">IF(WTSL_Categories!$B$17 &lt; WTSL_Categories!$B$16,"YES","NO")</f>
        <v>NO</v>
      </c>
      <c r="F6" s="7" t="s">
        <v>1780</v>
      </c>
      <c r="G6" s="7" t="str">
        <f aca="false">IF(B6="YES",A6,"")</f>
        <v/>
      </c>
      <c r="H6" s="7" t="str">
        <f aca="false">IF(B6="YES",C6,"")</f>
        <v/>
      </c>
      <c r="I6" s="7" t="str">
        <f aca="false">IF($H6="INVALID",$G6,"")</f>
        <v/>
      </c>
      <c r="J6" s="7" t="str">
        <f aca="false">IF($H6="ESCALATE",$G6,"")</f>
        <v/>
      </c>
      <c r="K6" s="7" t="str">
        <f aca="false">IF($H6="REVIEW",$G6,"")</f>
        <v/>
      </c>
      <c r="L6" s="7" t="str">
        <f aca="false">IF($G6&lt;&gt;"",$G6&amp;" ("&amp;$H6&amp;")","")</f>
        <v/>
      </c>
    </row>
    <row r="7" customFormat="false" ht="14.25" hidden="false" customHeight="true" outlineLevel="0" collapsed="false">
      <c r="A7" s="7" t="s">
        <v>1781</v>
      </c>
      <c r="B7" s="34" t="s">
        <v>146</v>
      </c>
      <c r="C7" s="95" t="s">
        <v>1775</v>
      </c>
      <c r="D7" s="7" t="s">
        <v>1782</v>
      </c>
      <c r="E7" s="7" t="s">
        <v>1783</v>
      </c>
      <c r="F7" s="7" t="s">
        <v>359</v>
      </c>
      <c r="G7" s="7"/>
      <c r="H7" s="7"/>
      <c r="I7" s="7"/>
      <c r="J7" s="7"/>
      <c r="K7" s="7"/>
      <c r="L7" s="7"/>
    </row>
    <row r="8" customFormat="false" ht="14.25" hidden="false" customHeight="true" outlineLevel="0" collapsed="false">
      <c r="A8" s="7" t="s">
        <v>1784</v>
      </c>
      <c r="B8" s="34" t="str">
        <f aca="false">IF(CANON!B38&lt;&gt;8,"YES","NO")</f>
        <v>NO</v>
      </c>
      <c r="C8" s="95" t="s">
        <v>1775</v>
      </c>
      <c r="D8" s="7" t="s">
        <v>1785</v>
      </c>
      <c r="E8" s="7" t="s">
        <v>1786</v>
      </c>
      <c r="F8" s="7" t="s">
        <v>376</v>
      </c>
      <c r="G8" s="7" t="str">
        <f aca="false">IF(B8="YES",A8,"")</f>
        <v/>
      </c>
      <c r="H8" s="7" t="str">
        <f aca="false">IF(B8="YES",C8,"")</f>
        <v/>
      </c>
      <c r="I8" s="7" t="str">
        <f aca="false">IF($H8="INVALID",$G8,"")</f>
        <v/>
      </c>
      <c r="J8" s="7" t="str">
        <f aca="false">IF($H8="ESCALATE",$G8,"")</f>
        <v/>
      </c>
      <c r="K8" s="7" t="str">
        <f aca="false">IF($H8="REVIEW",$G8,"")</f>
        <v/>
      </c>
      <c r="L8" s="7" t="str">
        <f aca="false">IF($G8&lt;&gt;"",$G8&amp;" ("&amp;$H8&amp;")","")</f>
        <v/>
      </c>
    </row>
    <row r="9" customFormat="false" ht="14.25" hidden="false" customHeight="true" outlineLevel="0" collapsed="false">
      <c r="A9" s="7" t="s">
        <v>1787</v>
      </c>
      <c r="B9" s="34" t="str">
        <f aca="false">IF(OR(CANON!B71="",CANON!B71="NONE"),"YES","NO")</f>
        <v>NO</v>
      </c>
      <c r="C9" s="96" t="s">
        <v>1775</v>
      </c>
      <c r="D9" s="7" t="s">
        <v>1788</v>
      </c>
      <c r="E9" s="7" t="s">
        <v>1789</v>
      </c>
      <c r="F9" s="7" t="s">
        <v>408</v>
      </c>
      <c r="G9" s="7" t="str">
        <f aca="false">IF(B9="YES",A9,"")</f>
        <v/>
      </c>
      <c r="H9" s="7" t="str">
        <f aca="false">IF(B9="YES",C9,"")</f>
        <v/>
      </c>
      <c r="I9" s="7" t="str">
        <f aca="false">IF($H9="INVALID",$G9,"")</f>
        <v/>
      </c>
      <c r="J9" s="7" t="str">
        <f aca="false">IF($H9="ESCALATE",$G9,"")</f>
        <v/>
      </c>
      <c r="K9" s="7" t="str">
        <f aca="false">IF($H9="REVIEW",$G9,"")</f>
        <v/>
      </c>
      <c r="L9" s="7" t="str">
        <f aca="false">IF($G9&lt;&gt;"",$G9&amp;" ("&amp;$H9&amp;")","")</f>
        <v/>
      </c>
    </row>
    <row r="10" customFormat="false" ht="14.25" hidden="false" customHeight="true" outlineLevel="0" collapsed="false">
      <c r="A10" s="7" t="s">
        <v>1790</v>
      </c>
      <c r="B10" s="34" t="str">
        <f aca="false">IF(AND(CANON!B67&gt;0,CANON!B68=0),"YES","NO")</f>
        <v>NO</v>
      </c>
      <c r="C10" s="96" t="s">
        <v>1121</v>
      </c>
      <c r="D10" s="7" t="s">
        <v>1791</v>
      </c>
      <c r="E10" s="7" t="s">
        <v>1792</v>
      </c>
      <c r="F10" s="7" t="s">
        <v>1793</v>
      </c>
      <c r="G10" s="7" t="str">
        <f aca="false">IF(B10="YES",A10,"")</f>
        <v/>
      </c>
      <c r="H10" s="7" t="str">
        <f aca="false">IF(B10="YES",C10,"")</f>
        <v/>
      </c>
      <c r="I10" s="7" t="str">
        <f aca="false">IF($H10="INVALID",$G10,"")</f>
        <v/>
      </c>
      <c r="J10" s="7" t="str">
        <f aca="false">IF($H10="ESCALATE",$G10,"")</f>
        <v/>
      </c>
      <c r="K10" s="7" t="str">
        <f aca="false">IF($H10="REVIEW",$G10,"")</f>
        <v/>
      </c>
      <c r="L10" s="7" t="str">
        <f aca="false">IF($G10&lt;&gt;"",$G10&amp;" ("&amp;$H10&amp;")","")</f>
        <v/>
      </c>
    </row>
    <row r="11" customFormat="false" ht="14.25" hidden="false" customHeight="true" outlineLevel="0" collapsed="false">
      <c r="A11" s="7" t="s">
        <v>1794</v>
      </c>
      <c r="B11" s="34" t="str">
        <f aca="false">IF(CANON!B67=0,"YES","NO")</f>
        <v>NO</v>
      </c>
      <c r="C11" s="96" t="s">
        <v>1121</v>
      </c>
      <c r="D11" s="7" t="s">
        <v>1795</v>
      </c>
      <c r="E11" s="7" t="s">
        <v>1796</v>
      </c>
      <c r="F11" s="7" t="s">
        <v>1797</v>
      </c>
      <c r="G11" s="7" t="str">
        <f aca="false">IF(B11="YES",A11,"")</f>
        <v/>
      </c>
      <c r="H11" s="7" t="str">
        <f aca="false">IF(B11="YES",C11,"")</f>
        <v/>
      </c>
      <c r="I11" s="7" t="str">
        <f aca="false">IF($H11="INVALID",$G11,"")</f>
        <v/>
      </c>
      <c r="J11" s="7" t="str">
        <f aca="false">IF($H11="ESCALATE",$G11,"")</f>
        <v/>
      </c>
      <c r="K11" s="7" t="str">
        <f aca="false">IF($H11="REVIEW",$G11,"")</f>
        <v/>
      </c>
      <c r="L11" s="7" t="str">
        <f aca="false">IF($G11&lt;&gt;"",$G11&amp;" ("&amp;$H11&amp;")","")</f>
        <v/>
      </c>
    </row>
    <row r="12" customFormat="false" ht="14.25" hidden="false" customHeight="true" outlineLevel="0" collapsed="false">
      <c r="A12" s="7" t="s">
        <v>221</v>
      </c>
      <c r="B12" s="34" t="str">
        <f aca="false">IF(CANON!B73="YES","YES","NO")</f>
        <v>NO</v>
      </c>
      <c r="C12" s="96" t="s">
        <v>1121</v>
      </c>
      <c r="D12" s="7" t="s">
        <v>1798</v>
      </c>
      <c r="E12" s="7" t="s">
        <v>1799</v>
      </c>
      <c r="F12" s="7" t="s">
        <v>1800</v>
      </c>
      <c r="G12" s="7" t="str">
        <f aca="false">IF(B12="YES",A12,"")</f>
        <v/>
      </c>
      <c r="H12" s="7" t="str">
        <f aca="false">IF(B12="YES",C12,"")</f>
        <v/>
      </c>
      <c r="I12" s="7" t="str">
        <f aca="false">IF($H12="INVALID",$G12,"")</f>
        <v/>
      </c>
      <c r="J12" s="7" t="str">
        <f aca="false">IF($H12="ESCALATE",$G12,"")</f>
        <v/>
      </c>
      <c r="K12" s="7" t="str">
        <f aca="false">IF($H12="REVIEW",$G12,"")</f>
        <v/>
      </c>
      <c r="L12" s="7" t="str">
        <f aca="false">IF($G12&lt;&gt;"",$G12&amp;" ("&amp;$H12&amp;")","")</f>
        <v/>
      </c>
    </row>
    <row r="13" customFormat="false" ht="26.25" hidden="false" customHeight="true" outlineLevel="0" collapsed="false">
      <c r="A13" s="7" t="s">
        <v>1801</v>
      </c>
      <c r="B13" s="34" t="str">
        <f aca="false">IF(AND(CANON!$B$10&gt;=2,OR(CANON!$B$137="",CANON!$B$26="",CANON!$B$26&lt;=0)),"YES","NO")</f>
        <v>NO</v>
      </c>
      <c r="C13" s="97" t="s">
        <v>1121</v>
      </c>
      <c r="D13" s="7" t="s">
        <v>1802</v>
      </c>
      <c r="E13" s="7" t="str">
        <f aca="false">IF(AND(CANON!$B$10&gt;=2,OR(CANON!$B$137="",CANON!$B$26="",CANON!$B$26&lt;=0)),"YES","NO")</f>
        <v>NO</v>
      </c>
      <c r="F13" s="7" t="s">
        <v>1803</v>
      </c>
      <c r="G13" s="7" t="str">
        <f aca="false">IF(B13="YES",A13,"")</f>
        <v/>
      </c>
      <c r="H13" s="7" t="str">
        <f aca="false">IF(B13="YES",C13,"")</f>
        <v/>
      </c>
      <c r="I13" s="7" t="str">
        <f aca="false">IF($H13="INVALID",$G13,"")</f>
        <v/>
      </c>
      <c r="J13" s="7" t="str">
        <f aca="false">IF($H13="ESCALATE",$G13,"")</f>
        <v/>
      </c>
      <c r="K13" s="7" t="str">
        <f aca="false">IF($H13="REVIEW",$G13,"")</f>
        <v/>
      </c>
      <c r="L13" s="7" t="str">
        <f aca="false">IF($G13&lt;&gt;"",$G13&amp;" ("&amp;$H13&amp;")","")</f>
        <v/>
      </c>
    </row>
    <row r="14" customFormat="false" ht="39" hidden="false" customHeight="true" outlineLevel="0" collapsed="false">
      <c r="A14" s="7" t="s">
        <v>1804</v>
      </c>
      <c r="B14" s="34" t="str">
        <f aca="false">IF(AND(Subgroup_Overrides!B17=0,Subgroup_Analysis!B46=0),"YES","NO")</f>
        <v>NO</v>
      </c>
      <c r="C14" s="97" t="s">
        <v>1805</v>
      </c>
      <c r="D14" s="7" t="s">
        <v>1806</v>
      </c>
      <c r="E14" s="7" t="s">
        <v>1807</v>
      </c>
      <c r="F14" s="7" t="s">
        <v>1808</v>
      </c>
      <c r="G14" s="7" t="str">
        <f aca="false">IF(B14="YES",A14,"")</f>
        <v/>
      </c>
      <c r="H14" s="7" t="str">
        <f aca="false">IF(B14="YES",C14,"")</f>
        <v/>
      </c>
      <c r="I14" s="7" t="str">
        <f aca="false">IF($H14="INVALID",$G14,"")</f>
        <v/>
      </c>
      <c r="J14" s="7" t="str">
        <f aca="false">IF($H14="ESCALATE",$G14,"")</f>
        <v/>
      </c>
      <c r="K14" s="7" t="str">
        <f aca="false">IF($H14="REVIEW",$G14,"")</f>
        <v/>
      </c>
      <c r="L14" s="7" t="str">
        <f aca="false">IF($G14&lt;&gt;"",$G14&amp;" ("&amp;$H14&amp;")","")</f>
        <v/>
      </c>
    </row>
    <row r="15" customFormat="false" ht="52.5" hidden="false" customHeight="true" outlineLevel="0" collapsed="false">
      <c r="A15" s="7" t="s">
        <v>1809</v>
      </c>
      <c r="B15" s="34" t="str">
        <f aca="false">IF(ABS(CANON!B63-CANON!B64)/SQRT(2*CANON!B26^2+0.000001)&lt;CANON!B22,"YES","NO")</f>
        <v>YES</v>
      </c>
      <c r="C15" s="97" t="s">
        <v>1805</v>
      </c>
      <c r="D15" s="7" t="s">
        <v>1810</v>
      </c>
      <c r="E15" s="7" t="s">
        <v>1811</v>
      </c>
      <c r="F15" s="7" t="s">
        <v>1812</v>
      </c>
      <c r="G15" s="7" t="str">
        <f aca="false">IF(B15="YES",A15,"")</f>
        <v>NONDECISIVE_GAP_REVIEW</v>
      </c>
      <c r="H15" s="7" t="str">
        <f aca="false">IF(B15="YES",C15,"")</f>
        <v>REVIEW</v>
      </c>
      <c r="I15" s="7" t="str">
        <f aca="false">IF($H15="INVALID",$G15,"")</f>
        <v/>
      </c>
      <c r="J15" s="7" t="str">
        <f aca="false">IF($H15="ESCALATE",$G15,"")</f>
        <v/>
      </c>
      <c r="K15" s="7" t="str">
        <f aca="false">IF($H15="REVIEW",$G15,"")</f>
        <v>NONDECISIVE_GAP_REVIEW</v>
      </c>
      <c r="L15" s="7" t="str">
        <f aca="false">IF($G15&lt;&gt;"",$G15&amp;" ("&amp;$H15&amp;")","")</f>
        <v>NONDECISIVE_GAP_REVIEW (REVIEW)</v>
      </c>
    </row>
    <row r="16" customFormat="false" ht="14.25" hidden="false" customHeight="true" outlineLevel="0" collapsed="false">
      <c r="A16" s="7" t="s">
        <v>1813</v>
      </c>
      <c r="B16" s="34" t="str">
        <f aca="false">IF(CANON!B10&gt;=3,"YES","NO")</f>
        <v>NO</v>
      </c>
      <c r="C16" s="7" t="s">
        <v>1805</v>
      </c>
      <c r="D16" s="7" t="s">
        <v>1814</v>
      </c>
      <c r="E16" s="7" t="s">
        <v>1815</v>
      </c>
      <c r="F16" s="7" t="s">
        <v>1816</v>
      </c>
      <c r="G16" s="7" t="str">
        <f aca="false">IF(B16="YES",A16,"")</f>
        <v/>
      </c>
      <c r="H16" s="7" t="str">
        <f aca="false">IF(B16="YES",C16,"")</f>
        <v/>
      </c>
      <c r="I16" s="7" t="str">
        <f aca="false">IF($H16="INVALID",$G16,"")</f>
        <v/>
      </c>
      <c r="J16" s="7" t="str">
        <f aca="false">IF($H16="ESCALATE",$G16,"")</f>
        <v/>
      </c>
      <c r="K16" s="7" t="str">
        <f aca="false">IF($H16="REVIEW",$G16,"")</f>
        <v/>
      </c>
      <c r="L16" s="7" t="str">
        <f aca="false">IF($G16&lt;&gt;"",$G16&amp;" ("&amp;$H16&amp;")","")</f>
        <v/>
      </c>
    </row>
    <row r="17" customFormat="false" ht="14.25" hidden="false" customHeight="true" outlineLevel="0" collapsed="false">
      <c r="A17" s="7" t="s">
        <v>1817</v>
      </c>
      <c r="B17" s="34" t="str">
        <f aca="false">IF(Sensitivity_Analysis!B3="NOT PERFORMED","YES","NO")</f>
        <v>NO</v>
      </c>
      <c r="C17" s="7" t="s">
        <v>1805</v>
      </c>
      <c r="D17" s="7" t="s">
        <v>1818</v>
      </c>
      <c r="E17" s="7" t="s">
        <v>1819</v>
      </c>
      <c r="F17" s="7" t="s">
        <v>1820</v>
      </c>
      <c r="G17" s="7" t="str">
        <f aca="false">IF(B17="YES",A17,"")</f>
        <v/>
      </c>
      <c r="H17" s="7" t="str">
        <f aca="false">IF(B17="YES",C17,"")</f>
        <v/>
      </c>
      <c r="I17" s="7" t="str">
        <f aca="false">IF($H17="INVALID",$G17,"")</f>
        <v/>
      </c>
      <c r="J17" s="7" t="str">
        <f aca="false">IF($H17="ESCALATE",$G17,"")</f>
        <v/>
      </c>
      <c r="K17" s="7" t="str">
        <f aca="false">IF($H17="REVIEW",$G17,"")</f>
        <v/>
      </c>
      <c r="L17" s="7" t="str">
        <f aca="false">IF($G17&lt;&gt;"",$G17&amp;" ("&amp;$H17&amp;")","")</f>
        <v/>
      </c>
    </row>
    <row r="18" customFormat="false" ht="39" hidden="false" customHeight="true" outlineLevel="0" collapsed="false">
      <c r="A18" s="23" t="s">
        <v>1821</v>
      </c>
      <c r="B18" s="34" t="str">
        <f aca="false">IF(SUMPRODUCT(--((B5:B17&lt;&gt;"YES")*(B5:B17&lt;&gt;"NO")))+SUMPRODUCT(--((B25:B33&lt;&gt;"YES")*(B25:B33&lt;&gt;"NO")))&gt;0,"YES","NO")</f>
        <v>NO</v>
      </c>
      <c r="C18" s="7" t="s">
        <v>1775</v>
      </c>
      <c r="D18" s="7" t="s">
        <v>1822</v>
      </c>
      <c r="E18" s="7" t="s">
        <v>1823</v>
      </c>
      <c r="F18" s="7" t="s">
        <v>1824</v>
      </c>
      <c r="G18" s="7" t="str">
        <f aca="false">IF(B18="YES",A18,"")</f>
        <v/>
      </c>
      <c r="H18" s="7" t="str">
        <f aca="false">IF(B18="YES",C18,"")</f>
        <v/>
      </c>
      <c r="I18" s="7" t="str">
        <f aca="false">IF($H18="INVALID",$G18,"")</f>
        <v/>
      </c>
      <c r="J18" s="7" t="str">
        <f aca="false">IF($H18="ESCALATE",$G18,"")</f>
        <v/>
      </c>
      <c r="K18" s="7" t="str">
        <f aca="false">IF($H18="REVIEW",$G18,"")</f>
        <v/>
      </c>
      <c r="L18" s="7" t="str">
        <f aca="false">IF($G18&lt;&gt;"",$G18&amp;" ("&amp;$H18&amp;")","")</f>
        <v/>
      </c>
    </row>
    <row r="19" customFormat="false" ht="26.25" hidden="false" customHeight="true" outlineLevel="0" collapsed="false">
      <c r="A19" s="5"/>
      <c r="B19" s="5"/>
      <c r="C19" s="5"/>
      <c r="D19" s="5"/>
      <c r="E19" s="5"/>
      <c r="F19" s="5"/>
      <c r="G19" s="5"/>
      <c r="H19" s="5"/>
      <c r="I19" s="7" t="s">
        <v>1825</v>
      </c>
      <c r="J19" s="7" t="s">
        <v>17</v>
      </c>
      <c r="K19" s="5"/>
      <c r="L19" s="5"/>
    </row>
    <row r="20" customFormat="false" ht="26.25" hidden="false" customHeight="true" outlineLevel="0" collapsed="false">
      <c r="A20" s="10" t="s">
        <v>1826</v>
      </c>
      <c r="B20" s="5"/>
      <c r="C20" s="5"/>
      <c r="D20" s="5"/>
      <c r="E20" s="5"/>
      <c r="F20" s="5"/>
      <c r="G20" s="5"/>
      <c r="H20" s="5"/>
      <c r="I20" s="7" t="s">
        <v>1827</v>
      </c>
      <c r="J20" s="7" t="s">
        <v>1828</v>
      </c>
      <c r="K20" s="5"/>
      <c r="L20" s="5"/>
    </row>
    <row r="21" customFormat="false" ht="14.25" hidden="false" customHeight="true" outlineLevel="0" collapsed="false">
      <c r="A21" s="7" t="s">
        <v>1829</v>
      </c>
      <c r="B21" s="25" t="n">
        <v>0</v>
      </c>
      <c r="C21" s="7" t="s">
        <v>1830</v>
      </c>
      <c r="D21" s="5"/>
      <c r="E21" s="5"/>
      <c r="F21" s="5"/>
      <c r="G21" s="5"/>
      <c r="H21" s="5"/>
      <c r="I21" s="7" t="s">
        <v>1831</v>
      </c>
      <c r="J21" s="7" t="s">
        <v>1828</v>
      </c>
      <c r="K21" s="5"/>
      <c r="L21" s="5"/>
    </row>
    <row r="22" customFormat="false" ht="14.25" hidden="false" customHeight="true" outlineLevel="0" collapsed="false">
      <c r="A22" s="7" t="s">
        <v>1832</v>
      </c>
      <c r="B22" s="25" t="n">
        <v>0</v>
      </c>
      <c r="C22" s="7" t="s">
        <v>1830</v>
      </c>
      <c r="D22" s="5"/>
      <c r="E22" s="5"/>
      <c r="F22" s="5"/>
      <c r="G22" s="5"/>
      <c r="H22" s="5"/>
      <c r="I22" s="7" t="s">
        <v>1833</v>
      </c>
      <c r="J22" s="7" t="s">
        <v>1809</v>
      </c>
      <c r="K22" s="5"/>
      <c r="L22" s="5"/>
    </row>
    <row r="23" customFormat="false" ht="14.25" hidden="false" customHeight="true" outlineLevel="0" collapsed="false">
      <c r="A23" s="7" t="s">
        <v>1834</v>
      </c>
      <c r="B23" s="25" t="n">
        <v>1</v>
      </c>
      <c r="C23" s="7" t="s">
        <v>1830</v>
      </c>
      <c r="D23" s="5"/>
      <c r="E23" s="5"/>
      <c r="F23" s="5"/>
      <c r="G23" s="5"/>
      <c r="H23" s="5"/>
      <c r="I23" s="5"/>
      <c r="J23" s="5"/>
      <c r="K23" s="5"/>
      <c r="L23" s="5"/>
    </row>
    <row r="24" customFormat="false" ht="14.25" hidden="false" customHeight="true" outlineLevel="0" collapsed="false">
      <c r="A24" s="7" t="s">
        <v>1835</v>
      </c>
      <c r="B24" s="25" t="n">
        <v>1</v>
      </c>
      <c r="C24" s="7" t="s">
        <v>1830</v>
      </c>
      <c r="D24" s="5"/>
      <c r="E24" s="5"/>
      <c r="F24" s="5"/>
      <c r="G24" s="5"/>
      <c r="H24" s="5"/>
      <c r="I24" s="5"/>
      <c r="J24" s="5"/>
      <c r="K24" s="5"/>
      <c r="L24" s="5"/>
    </row>
    <row r="25" customFormat="false" ht="24" hidden="false" customHeight="true" outlineLevel="0" collapsed="false">
      <c r="A25" s="29" t="s">
        <v>1836</v>
      </c>
      <c r="B25" s="29" t="str">
        <f aca="false">IF(AND(CANON!B133="REDUCED",OR(CANON!B134="NONE",CANON!B134="")),"YES","NO")</f>
        <v>NO</v>
      </c>
      <c r="C25" s="29" t="s">
        <v>1805</v>
      </c>
      <c r="D25" s="29" t="s">
        <v>1837</v>
      </c>
      <c r="E25" s="29" t="s">
        <v>1838</v>
      </c>
      <c r="F25" s="29" t="s">
        <v>1839</v>
      </c>
      <c r="G25" s="7" t="str">
        <f aca="false">IF(B25="YES",A25,"")</f>
        <v/>
      </c>
      <c r="H25" s="7" t="str">
        <f aca="false">IF(B25="YES",C25,"")</f>
        <v/>
      </c>
      <c r="I25" s="7" t="str">
        <f aca="false">IF($H25="INVALID",$G25,"")</f>
        <v/>
      </c>
      <c r="J25" s="7" t="str">
        <f aca="false">IF($H25="ESCALATE",$G25,"")</f>
        <v/>
      </c>
      <c r="K25" s="7" t="str">
        <f aca="false">IF($H25="REVIEW",$G25,"")</f>
        <v/>
      </c>
      <c r="L25" s="7" t="str">
        <f aca="false">IF($G25&lt;&gt;"",$G25&amp;" ("&amp;$H25&amp;")","")</f>
        <v/>
      </c>
    </row>
    <row r="26" customFormat="false" ht="24" hidden="false" customHeight="true" outlineLevel="0" collapsed="false">
      <c r="A26" s="29" t="s">
        <v>1840</v>
      </c>
      <c r="B26" s="29" t="str">
        <f aca="false">IF(AND(CANON!$B$10&gt;=2,CANON!B130&lt;IF(CANON!$B$10=2,1,IF(CANON!$B$10=3,2,0))),"YES","NO")</f>
        <v>NO</v>
      </c>
      <c r="C26" s="29" t="s">
        <v>1121</v>
      </c>
      <c r="D26" s="29" t="s">
        <v>1841</v>
      </c>
      <c r="E26" s="29" t="s">
        <v>1842</v>
      </c>
      <c r="F26" s="29" t="s">
        <v>1843</v>
      </c>
      <c r="G26" s="7" t="str">
        <f aca="false">IF(B26="YES",A26,"")</f>
        <v/>
      </c>
      <c r="H26" s="7" t="str">
        <f aca="false">IF(B26="YES",C26,"")</f>
        <v/>
      </c>
      <c r="I26" s="7" t="str">
        <f aca="false">IF($H26="INVALID",$G26,"")</f>
        <v/>
      </c>
      <c r="J26" s="7" t="str">
        <f aca="false">IF($H26="ESCALATE",$G26,"")</f>
        <v/>
      </c>
      <c r="K26" s="7" t="str">
        <f aca="false">IF($H26="REVIEW",$G26,"")</f>
        <v/>
      </c>
      <c r="L26" s="7" t="str">
        <f aca="false">IF($G26&lt;&gt;"",$G26&amp;" ("&amp;$H26&amp;")","")</f>
        <v/>
      </c>
    </row>
    <row r="27" customFormat="false" ht="24" hidden="false" customHeight="true" outlineLevel="0" collapsed="false">
      <c r="A27" s="29" t="s">
        <v>1844</v>
      </c>
      <c r="B27" s="29" t="str">
        <f aca="false">IF(AND(CANON!$B$10&gt;=2,CANON!B130=IF(CANON!$B$10=2,1,IF(CANON!$B$10=3,2,0)),CANON!B131=""),"YES","NO")</f>
        <v>NO</v>
      </c>
      <c r="C27" s="29" t="s">
        <v>1805</v>
      </c>
      <c r="D27" s="29" t="s">
        <v>1845</v>
      </c>
      <c r="E27" s="29" t="s">
        <v>1846</v>
      </c>
      <c r="F27" s="29" t="s">
        <v>1843</v>
      </c>
      <c r="G27" s="7" t="str">
        <f aca="false">IF(B27="YES",A27,"")</f>
        <v/>
      </c>
      <c r="H27" s="7" t="str">
        <f aca="false">IF(B27="YES",C27,"")</f>
        <v/>
      </c>
      <c r="I27" s="7" t="str">
        <f aca="false">IF($H27="INVALID",$G27,"")</f>
        <v/>
      </c>
      <c r="J27" s="7" t="str">
        <f aca="false">IF($H27="ESCALATE",$G27,"")</f>
        <v/>
      </c>
      <c r="K27" s="7" t="str">
        <f aca="false">IF($H27="REVIEW",$G27,"")</f>
        <v/>
      </c>
      <c r="L27" s="7" t="str">
        <f aca="false">IF($G27&lt;&gt;"",$G27&amp;" ("&amp;$H27&amp;")","")</f>
        <v/>
      </c>
    </row>
    <row r="28" customFormat="false" ht="36" hidden="false" customHeight="true" outlineLevel="0" collapsed="false">
      <c r="A28" s="29" t="s">
        <v>1847</v>
      </c>
      <c r="B28" s="29" t="str">
        <f aca="false">IF(AND(CANON!$B$10&gt;=2,OR(CANON!B137="",CANON!B137=0)),"YES","NO")</f>
        <v>NO</v>
      </c>
      <c r="C28" s="29" t="s">
        <v>1775</v>
      </c>
      <c r="D28" s="29" t="s">
        <v>1848</v>
      </c>
      <c r="E28" s="29" t="s">
        <v>1849</v>
      </c>
      <c r="F28" s="29" t="s">
        <v>1850</v>
      </c>
      <c r="G28" s="7" t="str">
        <f aca="false">IF(B28="YES",A28,"")</f>
        <v/>
      </c>
      <c r="H28" s="7" t="str">
        <f aca="false">IF(B28="YES",C28,"")</f>
        <v/>
      </c>
      <c r="I28" s="7" t="str">
        <f aca="false">IF($H28="INVALID",$G28,"")</f>
        <v/>
      </c>
      <c r="J28" s="7" t="str">
        <f aca="false">IF($H28="ESCALATE",$G28,"")</f>
        <v/>
      </c>
      <c r="K28" s="7" t="str">
        <f aca="false">IF($H28="REVIEW",$G28,"")</f>
        <v/>
      </c>
      <c r="L28" s="7" t="str">
        <f aca="false">IF($G28&lt;&gt;"",$G28&amp;" ("&amp;$H28&amp;")","")</f>
        <v/>
      </c>
    </row>
    <row r="29" customFormat="false" ht="26.25" hidden="false" customHeight="true" outlineLevel="0" collapsed="false">
      <c r="A29" s="7" t="s">
        <v>1851</v>
      </c>
      <c r="B29" s="7" t="s">
        <v>146</v>
      </c>
      <c r="C29" s="7" t="s">
        <v>1775</v>
      </c>
      <c r="D29" s="7" t="s">
        <v>1852</v>
      </c>
      <c r="E29" s="7" t="s">
        <v>1853</v>
      </c>
      <c r="F29" s="5" t="s">
        <v>1854</v>
      </c>
      <c r="G29" s="7" t="str">
        <f aca="false">IF(B29="YES",A29,"")</f>
        <v/>
      </c>
      <c r="H29" s="7" t="str">
        <f aca="false">IF(B29="YES",C29,"")</f>
        <v/>
      </c>
      <c r="I29" s="7" t="str">
        <f aca="false">IF($H29="INVALID",$G29,"")</f>
        <v/>
      </c>
      <c r="J29" s="7" t="str">
        <f aca="false">IF($H29="ESCALATE",$G29,"")</f>
        <v/>
      </c>
      <c r="K29" s="7" t="str">
        <f aca="false">IF($H29="REVIEW",$G29,"")</f>
        <v/>
      </c>
      <c r="L29" s="7" t="str">
        <f aca="false">IF($G29&lt;&gt;"",$G29&amp;" ("&amp;$H29&amp;")","")</f>
        <v/>
      </c>
    </row>
    <row r="30" customFormat="false" ht="26.25" hidden="false" customHeight="true" outlineLevel="0" collapsed="false">
      <c r="A30" s="7" t="s">
        <v>1855</v>
      </c>
      <c r="B30" s="7" t="s">
        <v>146</v>
      </c>
      <c r="C30" s="7" t="s">
        <v>1121</v>
      </c>
      <c r="D30" s="7" t="s">
        <v>1856</v>
      </c>
      <c r="E30" s="7" t="s">
        <v>1857</v>
      </c>
      <c r="F30" s="5" t="s">
        <v>1854</v>
      </c>
      <c r="G30" s="7" t="str">
        <f aca="false">IF(B30="YES",A30,"")</f>
        <v/>
      </c>
      <c r="H30" s="7" t="str">
        <f aca="false">IF(B30="YES",C30,"")</f>
        <v/>
      </c>
      <c r="I30" s="7" t="str">
        <f aca="false">IF($H30="INVALID",$G30,"")</f>
        <v/>
      </c>
      <c r="J30" s="7" t="str">
        <f aca="false">IF($H30="ESCALATE",$G30,"")</f>
        <v/>
      </c>
      <c r="K30" s="7" t="str">
        <f aca="false">IF($H30="REVIEW",$G30,"")</f>
        <v/>
      </c>
      <c r="L30" s="7" t="str">
        <f aca="false">IF($G30&lt;&gt;"",$G30&amp;" ("&amp;$H30&amp;")","")</f>
        <v/>
      </c>
    </row>
    <row r="31" customFormat="false" ht="24" hidden="false" customHeight="true" outlineLevel="0" collapsed="false">
      <c r="A31" s="5" t="s">
        <v>1858</v>
      </c>
      <c r="B31" s="5" t="s">
        <v>146</v>
      </c>
      <c r="C31" s="5" t="s">
        <v>1775</v>
      </c>
      <c r="D31" s="5" t="s">
        <v>1859</v>
      </c>
      <c r="E31" s="5" t="s">
        <v>1860</v>
      </c>
      <c r="F31" s="5" t="s">
        <v>1861</v>
      </c>
      <c r="G31" s="5" t="str">
        <f aca="false">IF(B31="YES",A31,"")</f>
        <v/>
      </c>
      <c r="H31" s="5" t="str">
        <f aca="false">IF(B31="YES",C31,"")</f>
        <v/>
      </c>
      <c r="I31" s="5" t="str">
        <f aca="false">IF($H31="INVALID",$G31,"")</f>
        <v/>
      </c>
      <c r="J31" s="5" t="str">
        <f aca="false">IF($H31="ESCALATE",$G31,"")</f>
        <v/>
      </c>
      <c r="K31" s="5" t="str">
        <f aca="false">IF($H31="REVIEW",$G31,"")</f>
        <v/>
      </c>
      <c r="L31" s="5" t="str">
        <f aca="false">IF($G31&lt;&gt;"",$G31&amp;" ("&amp;$H31&amp;")","")</f>
        <v/>
      </c>
    </row>
    <row r="32" customFormat="false" ht="36" hidden="false" customHeight="true" outlineLevel="0" collapsed="false">
      <c r="A32" s="7" t="s">
        <v>1862</v>
      </c>
      <c r="B32" s="7" t="s">
        <v>146</v>
      </c>
      <c r="C32" s="7" t="s">
        <v>1121</v>
      </c>
      <c r="D32" s="7" t="s">
        <v>1863</v>
      </c>
      <c r="E32" s="7" t="s">
        <v>1864</v>
      </c>
      <c r="F32" s="5" t="s">
        <v>1865</v>
      </c>
      <c r="G32" s="7" t="str">
        <f aca="false">IF(B32="YES",A32,"")</f>
        <v/>
      </c>
      <c r="H32" s="7" t="str">
        <f aca="false">IF(B32="YES",C32,"")</f>
        <v/>
      </c>
      <c r="I32" s="7" t="str">
        <f aca="false">IF($H32="INVALID",$G32,"")</f>
        <v/>
      </c>
      <c r="J32" s="7" t="str">
        <f aca="false">IF($H32="ESCALATE",$G32,"")</f>
        <v/>
      </c>
      <c r="K32" s="7" t="str">
        <f aca="false">IF($H32="REVIEW",$G32,"")</f>
        <v/>
      </c>
      <c r="L32" s="7" t="str">
        <f aca="false">IF($G32&lt;&gt;"",$G32&amp;" ("&amp;$H32&amp;")","")</f>
        <v/>
      </c>
    </row>
    <row r="33" customFormat="false" ht="36" hidden="false" customHeight="true" outlineLevel="0" collapsed="false">
      <c r="A33" s="7" t="s">
        <v>1866</v>
      </c>
      <c r="B33" s="7" t="s">
        <v>146</v>
      </c>
      <c r="C33" s="7" t="s">
        <v>1121</v>
      </c>
      <c r="D33" s="7" t="s">
        <v>1867</v>
      </c>
      <c r="E33" s="7" t="s">
        <v>1868</v>
      </c>
      <c r="F33" s="5" t="s">
        <v>1869</v>
      </c>
      <c r="G33" s="7" t="str">
        <f aca="false">IF(B33="YES",A33,"")</f>
        <v/>
      </c>
      <c r="H33" s="7" t="str">
        <f aca="false">IF(B33="YES",C33,"")</f>
        <v/>
      </c>
      <c r="I33" s="7" t="str">
        <f aca="false">IF($H33="INVALID",$G33,"")</f>
        <v/>
      </c>
      <c r="J33" s="7" t="str">
        <f aca="false">IF($H33="ESCALATE",$G33,"")</f>
        <v/>
      </c>
      <c r="K33" s="7" t="str">
        <f aca="false">IF($H33="REVIEW",$G33,"")</f>
        <v/>
      </c>
      <c r="L33" s="7" t="str">
        <f aca="false">IF($G33&lt;&gt;"",$G33&amp;" ("&amp;$H33&amp;")","")</f>
        <v/>
      </c>
    </row>
    <row r="34" customFormat="false" ht="14.25" hidden="false" customHeight="true" outlineLevel="0" collapsed="false">
      <c r="A34" s="10" t="s">
        <v>1870</v>
      </c>
      <c r="B34" s="10"/>
      <c r="C34" s="10"/>
      <c r="D34" s="10"/>
      <c r="E34" s="10"/>
      <c r="F34" s="10"/>
      <c r="G34" s="5"/>
      <c r="H34" s="5"/>
      <c r="I34" s="5"/>
      <c r="J34" s="5"/>
      <c r="K34" s="5"/>
      <c r="L34" s="5"/>
    </row>
    <row r="35" customFormat="false" ht="14.25" hidden="false" customHeight="true" outlineLevel="0" collapsed="false">
      <c r="A35" s="7" t="s">
        <v>1871</v>
      </c>
      <c r="B35" s="7"/>
      <c r="C35" s="7"/>
      <c r="D35" s="7"/>
      <c r="E35" s="7"/>
      <c r="F35" s="7"/>
      <c r="G35" s="5"/>
      <c r="H35" s="5"/>
      <c r="I35" s="5"/>
      <c r="J35" s="5"/>
      <c r="K35" s="5"/>
      <c r="L35" s="5"/>
    </row>
    <row r="36" customFormat="false" ht="14.25" hidden="false" customHeight="true" outlineLevel="0" collapsed="false">
      <c r="A36" s="7" t="s">
        <v>1872</v>
      </c>
      <c r="B36" s="5"/>
      <c r="C36" s="5"/>
      <c r="D36" s="5"/>
      <c r="E36" s="5"/>
      <c r="F36" s="5"/>
      <c r="G36" s="5"/>
      <c r="H36" s="5"/>
      <c r="I36" s="5"/>
      <c r="J36" s="5"/>
      <c r="K36" s="5"/>
      <c r="L36" s="5"/>
    </row>
    <row r="37" customFormat="false" ht="14.25" hidden="false" customHeight="true" outlineLevel="0" collapsed="false">
      <c r="A37" s="5"/>
      <c r="B37" s="5"/>
      <c r="C37" s="5"/>
      <c r="D37" s="5"/>
      <c r="E37" s="5"/>
      <c r="F37" s="5"/>
      <c r="G37" s="5"/>
      <c r="H37" s="5"/>
      <c r="I37" s="5"/>
      <c r="J37" s="5"/>
      <c r="K37" s="5"/>
      <c r="L37" s="5"/>
    </row>
    <row r="38" customFormat="false" ht="14.25" hidden="false" customHeight="true" outlineLevel="0" collapsed="false">
      <c r="A38" s="7" t="s">
        <v>1873</v>
      </c>
      <c r="B38" s="5"/>
      <c r="C38" s="5"/>
      <c r="D38" s="5"/>
      <c r="E38" s="5"/>
      <c r="F38" s="5"/>
      <c r="G38" s="5"/>
      <c r="H38" s="5"/>
      <c r="I38" s="5"/>
      <c r="J38" s="5"/>
      <c r="K38" s="5"/>
      <c r="L38" s="5"/>
    </row>
    <row r="39" customFormat="false" ht="132" hidden="false" customHeight="true" outlineLevel="0" collapsed="false">
      <c r="A39" s="10" t="s">
        <v>1874</v>
      </c>
      <c r="B39" s="5"/>
      <c r="C39" s="5"/>
      <c r="D39" s="5"/>
      <c r="E39" s="5"/>
      <c r="F39" s="5"/>
      <c r="G39" s="5"/>
      <c r="H39" s="5"/>
      <c r="I39" s="5"/>
      <c r="J39" s="5"/>
      <c r="K39" s="5"/>
      <c r="L39" s="5"/>
    </row>
    <row r="40" customFormat="false" ht="132" hidden="false" customHeight="true" outlineLevel="0" collapsed="false">
      <c r="A40" s="7" t="s">
        <v>1874</v>
      </c>
      <c r="B40" s="5"/>
      <c r="C40" s="5"/>
      <c r="D40" s="5"/>
      <c r="E40" s="5"/>
      <c r="F40" s="5"/>
      <c r="G40" s="5"/>
      <c r="H40" s="5"/>
      <c r="I40" s="5"/>
      <c r="J40" s="5"/>
      <c r="K40" s="5"/>
      <c r="L40" s="5"/>
    </row>
    <row r="41" customFormat="false" ht="14.25" hidden="false" customHeight="true" outlineLevel="0" collapsed="false">
      <c r="A41" s="5"/>
      <c r="B41" s="5"/>
      <c r="C41" s="5"/>
      <c r="D41" s="5"/>
      <c r="E41" s="5"/>
      <c r="F41" s="5"/>
      <c r="G41" s="5"/>
      <c r="H41" s="5"/>
      <c r="I41" s="5"/>
      <c r="J41" s="5"/>
      <c r="K41" s="5"/>
      <c r="L41" s="5"/>
    </row>
    <row r="42" customFormat="false" ht="39" hidden="false" customHeight="true" outlineLevel="0" collapsed="false">
      <c r="A42" s="98" t="s">
        <v>1768</v>
      </c>
      <c r="B42" s="98" t="s">
        <v>1875</v>
      </c>
      <c r="C42" s="98" t="s">
        <v>1876</v>
      </c>
      <c r="D42" s="98" t="s">
        <v>71</v>
      </c>
      <c r="E42" s="5"/>
      <c r="F42" s="5"/>
      <c r="G42" s="5"/>
      <c r="H42" s="5"/>
      <c r="I42" s="5"/>
      <c r="J42" s="5"/>
      <c r="K42" s="5"/>
      <c r="L42" s="5"/>
    </row>
    <row r="43" customFormat="false" ht="14.25" hidden="false" customHeight="true" outlineLevel="0" collapsed="false">
      <c r="A43" s="99" t="s">
        <v>1781</v>
      </c>
      <c r="B43" s="99" t="s">
        <v>1877</v>
      </c>
      <c r="C43" s="99" t="s">
        <v>1828</v>
      </c>
      <c r="D43" s="99" t="s">
        <v>1878</v>
      </c>
      <c r="E43" s="5"/>
      <c r="F43" s="5"/>
      <c r="G43" s="5"/>
      <c r="H43" s="5"/>
      <c r="I43" s="5"/>
      <c r="J43" s="5"/>
      <c r="K43" s="5"/>
      <c r="L43" s="5"/>
    </row>
    <row r="44" customFormat="false" ht="14.25" hidden="false" customHeight="true" outlineLevel="0" collapsed="false">
      <c r="A44" s="99" t="s">
        <v>1784</v>
      </c>
      <c r="B44" s="99" t="s">
        <v>1877</v>
      </c>
      <c r="C44" s="99" t="s">
        <v>1828</v>
      </c>
      <c r="D44" s="99" t="s">
        <v>1879</v>
      </c>
      <c r="E44" s="5"/>
      <c r="F44" s="5"/>
      <c r="G44" s="5"/>
      <c r="H44" s="5"/>
      <c r="I44" s="5"/>
      <c r="J44" s="5"/>
      <c r="K44" s="5"/>
      <c r="L44" s="5"/>
    </row>
    <row r="45" customFormat="false" ht="14.25" hidden="false" customHeight="true" outlineLevel="0" collapsed="false">
      <c r="A45" s="99" t="s">
        <v>1787</v>
      </c>
      <c r="B45" s="99" t="s">
        <v>1877</v>
      </c>
      <c r="C45" s="99" t="s">
        <v>1828</v>
      </c>
      <c r="D45" s="99" t="s">
        <v>1880</v>
      </c>
      <c r="E45" s="5"/>
      <c r="F45" s="5"/>
      <c r="G45" s="5"/>
      <c r="H45" s="5"/>
      <c r="I45" s="5"/>
      <c r="J45" s="5"/>
      <c r="K45" s="5"/>
      <c r="L45" s="5"/>
    </row>
    <row r="46" customFormat="false" ht="14.25" hidden="false" customHeight="true" outlineLevel="0" collapsed="false">
      <c r="A46" s="99" t="s">
        <v>1821</v>
      </c>
      <c r="B46" s="99" t="s">
        <v>1877</v>
      </c>
      <c r="C46" s="99" t="s">
        <v>1828</v>
      </c>
      <c r="D46" s="99" t="s">
        <v>1881</v>
      </c>
      <c r="E46" s="5"/>
      <c r="F46" s="5"/>
      <c r="G46" s="5"/>
      <c r="H46" s="5"/>
      <c r="I46" s="5"/>
      <c r="J46" s="5"/>
      <c r="K46" s="5"/>
      <c r="L46" s="5"/>
    </row>
    <row r="47" customFormat="false" ht="39" hidden="false" customHeight="true" outlineLevel="0" collapsed="false">
      <c r="A47" s="99" t="s">
        <v>1809</v>
      </c>
      <c r="B47" s="99" t="s">
        <v>1877</v>
      </c>
      <c r="C47" s="99" t="s">
        <v>1882</v>
      </c>
      <c r="D47" s="99" t="s">
        <v>1883</v>
      </c>
      <c r="E47" s="5"/>
      <c r="F47" s="5"/>
      <c r="G47" s="5"/>
      <c r="H47" s="5"/>
      <c r="I47" s="5"/>
      <c r="J47" s="5"/>
      <c r="K47" s="5"/>
      <c r="L47" s="5"/>
    </row>
    <row r="48" customFormat="false" ht="26.25" hidden="false" customHeight="true" outlineLevel="0" collapsed="false">
      <c r="A48" s="99" t="s">
        <v>1813</v>
      </c>
      <c r="B48" s="99" t="s">
        <v>1877</v>
      </c>
      <c r="C48" s="99" t="s">
        <v>1884</v>
      </c>
      <c r="D48" s="99" t="s">
        <v>1885</v>
      </c>
      <c r="E48" s="5"/>
      <c r="F48" s="5"/>
      <c r="G48" s="5"/>
      <c r="H48" s="5"/>
      <c r="I48" s="5"/>
      <c r="J48" s="5"/>
      <c r="K48" s="5"/>
      <c r="L48" s="5"/>
    </row>
    <row r="49" customFormat="false" ht="26.25" hidden="false" customHeight="true" outlineLevel="0" collapsed="false">
      <c r="A49" s="99" t="s">
        <v>1817</v>
      </c>
      <c r="B49" s="99" t="s">
        <v>1877</v>
      </c>
      <c r="C49" s="99" t="s">
        <v>1886</v>
      </c>
      <c r="D49" s="99" t="s">
        <v>1887</v>
      </c>
      <c r="E49" s="5"/>
      <c r="F49" s="5"/>
      <c r="G49" s="5"/>
      <c r="H49" s="5"/>
      <c r="I49" s="5"/>
      <c r="J49" s="5"/>
      <c r="K49" s="5"/>
      <c r="L49" s="5"/>
    </row>
    <row r="50" customFormat="false" ht="26.25" hidden="false" customHeight="true" outlineLevel="0" collapsed="false">
      <c r="A50" s="99" t="s">
        <v>1836</v>
      </c>
      <c r="B50" s="99" t="s">
        <v>1877</v>
      </c>
      <c r="C50" s="99" t="s">
        <v>1888</v>
      </c>
      <c r="D50" s="99" t="s">
        <v>1889</v>
      </c>
      <c r="E50" s="5"/>
      <c r="F50" s="5"/>
      <c r="G50" s="5"/>
      <c r="H50" s="5"/>
      <c r="I50" s="5"/>
      <c r="J50" s="5"/>
      <c r="K50" s="5"/>
      <c r="L50" s="5"/>
    </row>
    <row r="51" customFormat="false" ht="14.25" hidden="false" customHeight="true" outlineLevel="0" collapsed="false">
      <c r="A51" s="5"/>
      <c r="B51" s="5"/>
      <c r="C51" s="5"/>
      <c r="D51" s="5"/>
      <c r="E51" s="5"/>
      <c r="F51" s="5"/>
      <c r="G51" s="5"/>
      <c r="H51" s="5"/>
      <c r="I51" s="5"/>
      <c r="J51" s="5"/>
      <c r="K51" s="5"/>
      <c r="L51" s="5"/>
    </row>
    <row r="52" customFormat="false" ht="14.25" hidden="false" customHeight="true" outlineLevel="0" collapsed="false">
      <c r="A52" s="7" t="s">
        <v>1890</v>
      </c>
      <c r="B52" s="5"/>
      <c r="C52" s="5"/>
      <c r="D52" s="5"/>
      <c r="E52" s="5"/>
      <c r="F52" s="5"/>
      <c r="G52" s="5"/>
      <c r="H52" s="5"/>
      <c r="I52" s="5"/>
      <c r="J52" s="5"/>
      <c r="K52" s="5"/>
      <c r="L52" s="5"/>
    </row>
    <row r="53" customFormat="false" ht="39" hidden="false" customHeight="true" outlineLevel="0" collapsed="false">
      <c r="A53" s="7" t="s">
        <v>1891</v>
      </c>
      <c r="B53" s="7" t="s">
        <v>1892</v>
      </c>
      <c r="C53" s="7" t="s">
        <v>1893</v>
      </c>
      <c r="D53" s="7" t="s">
        <v>1894</v>
      </c>
      <c r="E53" s="5"/>
      <c r="F53" s="5"/>
      <c r="G53" s="5"/>
      <c r="H53" s="5"/>
      <c r="I53" s="5"/>
      <c r="J53" s="5"/>
      <c r="K53" s="5"/>
      <c r="L53" s="5"/>
    </row>
    <row r="54" customFormat="false" ht="52.5" hidden="false" customHeight="true" outlineLevel="0" collapsed="false">
      <c r="A54" s="7" t="s">
        <v>1895</v>
      </c>
      <c r="B54" s="7" t="s">
        <v>1892</v>
      </c>
      <c r="C54" s="7" t="s">
        <v>1896</v>
      </c>
      <c r="D54" s="7" t="s">
        <v>1897</v>
      </c>
      <c r="E54" s="5"/>
      <c r="F54" s="5"/>
      <c r="G54" s="5"/>
      <c r="H54" s="5"/>
      <c r="I54" s="5"/>
      <c r="J54" s="5"/>
      <c r="K54" s="5"/>
      <c r="L54" s="5"/>
    </row>
    <row r="55" customFormat="false" ht="39" hidden="false" customHeight="true" outlineLevel="0" collapsed="false">
      <c r="A55" s="7" t="s">
        <v>1898</v>
      </c>
      <c r="B55" s="7" t="s">
        <v>1892</v>
      </c>
      <c r="C55" s="7" t="s">
        <v>1899</v>
      </c>
      <c r="D55" s="7" t="s">
        <v>1900</v>
      </c>
      <c r="E55" s="5"/>
      <c r="F55" s="5"/>
      <c r="G55" s="5"/>
      <c r="H55" s="5"/>
      <c r="I55" s="5"/>
      <c r="J55" s="5"/>
      <c r="K55" s="5"/>
      <c r="L55" s="5"/>
    </row>
  </sheetData>
  <mergeCells count="2">
    <mergeCell ref="A34:F34"/>
    <mergeCell ref="A35:F35"/>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24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3" min="1" style="1" width="36"/>
    <col collapsed="false" customWidth="true" hidden="false" outlineLevel="0" max="10" min="4" style="2" width="10"/>
  </cols>
  <sheetData>
    <row r="1" customFormat="false" ht="14.25" hidden="false" customHeight="true" outlineLevel="0" collapsed="false">
      <c r="A1" s="39" t="s">
        <v>1901</v>
      </c>
      <c r="B1" s="39"/>
      <c r="C1" s="39"/>
      <c r="D1" s="39"/>
      <c r="E1" s="39"/>
      <c r="F1" s="39"/>
      <c r="G1" s="39"/>
      <c r="H1" s="39"/>
      <c r="I1" s="39"/>
      <c r="J1" s="39"/>
    </row>
    <row r="2" customFormat="false" ht="13.5" hidden="false" customHeight="true" outlineLevel="0" collapsed="false">
      <c r="A2" s="5"/>
      <c r="B2" s="5"/>
      <c r="C2" s="5"/>
      <c r="D2" s="5"/>
      <c r="E2" s="5"/>
      <c r="F2" s="5"/>
      <c r="G2" s="5"/>
      <c r="H2" s="5"/>
      <c r="I2" s="5"/>
      <c r="J2" s="5"/>
    </row>
    <row r="3" customFormat="false" ht="14.25" hidden="false" customHeight="true" outlineLevel="0" collapsed="false">
      <c r="A3" s="37" t="s">
        <v>1902</v>
      </c>
      <c r="B3" s="5"/>
      <c r="C3" s="5"/>
      <c r="D3" s="5"/>
      <c r="E3" s="5"/>
      <c r="F3" s="5"/>
      <c r="G3" s="5"/>
      <c r="H3" s="5"/>
      <c r="I3" s="5"/>
      <c r="J3" s="5"/>
    </row>
    <row r="4" customFormat="false" ht="14.25" hidden="false" customHeight="true" outlineLevel="0" collapsed="false">
      <c r="A4" s="36" t="s">
        <v>1903</v>
      </c>
      <c r="B4" s="36" t="s">
        <v>1904</v>
      </c>
      <c r="C4" s="5"/>
      <c r="D4" s="5"/>
      <c r="E4" s="5"/>
      <c r="F4" s="5"/>
      <c r="G4" s="5"/>
      <c r="H4" s="5"/>
      <c r="I4" s="5"/>
      <c r="J4" s="5"/>
    </row>
    <row r="5" customFormat="false" ht="14.25" hidden="false" customHeight="true" outlineLevel="0" collapsed="false">
      <c r="A5" s="36" t="s">
        <v>1905</v>
      </c>
      <c r="B5" s="36" t="s">
        <v>1906</v>
      </c>
      <c r="C5" s="5"/>
      <c r="D5" s="5"/>
      <c r="E5" s="5"/>
      <c r="F5" s="5"/>
      <c r="G5" s="5"/>
      <c r="H5" s="5"/>
      <c r="I5" s="5"/>
      <c r="J5" s="5"/>
    </row>
    <row r="6" customFormat="false" ht="14.25" hidden="false" customHeight="true" outlineLevel="0" collapsed="false">
      <c r="A6" s="36" t="s">
        <v>1907</v>
      </c>
      <c r="B6" s="36" t="s">
        <v>1908</v>
      </c>
      <c r="C6" s="5"/>
      <c r="D6" s="5"/>
      <c r="E6" s="5"/>
      <c r="F6" s="5"/>
      <c r="G6" s="5"/>
      <c r="H6" s="5"/>
      <c r="I6" s="5"/>
      <c r="J6" s="5"/>
    </row>
    <row r="7" customFormat="false" ht="14.25" hidden="false" customHeight="true" outlineLevel="0" collapsed="false">
      <c r="A7" s="36" t="s">
        <v>1909</v>
      </c>
      <c r="B7" s="36" t="s">
        <v>1910</v>
      </c>
      <c r="C7" s="5"/>
      <c r="D7" s="5"/>
      <c r="E7" s="5"/>
      <c r="F7" s="5"/>
      <c r="G7" s="5"/>
      <c r="H7" s="5"/>
      <c r="I7" s="5"/>
      <c r="J7" s="5"/>
    </row>
    <row r="8" customFormat="false" ht="14.25" hidden="false" customHeight="true" outlineLevel="0" collapsed="false">
      <c r="A8" s="36" t="s">
        <v>1911</v>
      </c>
      <c r="B8" s="36" t="s">
        <v>1912</v>
      </c>
      <c r="C8" s="5"/>
      <c r="D8" s="5"/>
      <c r="E8" s="5"/>
      <c r="F8" s="5"/>
      <c r="G8" s="5"/>
      <c r="H8" s="5"/>
      <c r="I8" s="5"/>
      <c r="J8" s="5"/>
    </row>
    <row r="9" customFormat="false" ht="14.25" hidden="false" customHeight="true" outlineLevel="0" collapsed="false">
      <c r="A9" s="36" t="s">
        <v>1913</v>
      </c>
      <c r="B9" s="36" t="s">
        <v>1914</v>
      </c>
      <c r="C9" s="5"/>
      <c r="D9" s="5"/>
      <c r="E9" s="5"/>
      <c r="F9" s="5"/>
      <c r="G9" s="5"/>
      <c r="H9" s="5"/>
      <c r="I9" s="5"/>
      <c r="J9" s="5"/>
    </row>
    <row r="10" customFormat="false" ht="14.25" hidden="false" customHeight="true" outlineLevel="0" collapsed="false">
      <c r="A10" s="36" t="s">
        <v>1915</v>
      </c>
      <c r="B10" s="36" t="s">
        <v>143</v>
      </c>
      <c r="C10" s="5"/>
      <c r="D10" s="5"/>
      <c r="E10" s="5"/>
      <c r="F10" s="5"/>
      <c r="G10" s="5"/>
      <c r="H10" s="5"/>
      <c r="I10" s="5"/>
      <c r="J10" s="5"/>
    </row>
    <row r="11" customFormat="false" ht="14.25" hidden="false" customHeight="true" outlineLevel="0" collapsed="false">
      <c r="A11" s="36" t="s">
        <v>1916</v>
      </c>
      <c r="B11" s="100" t="s">
        <v>4</v>
      </c>
      <c r="C11" s="5"/>
      <c r="D11" s="5"/>
      <c r="E11" s="5"/>
      <c r="F11" s="5"/>
      <c r="G11" s="5"/>
      <c r="H11" s="5"/>
      <c r="I11" s="5"/>
      <c r="J11" s="5"/>
    </row>
    <row r="12" customFormat="false" ht="14.25" hidden="false" customHeight="true" outlineLevel="0" collapsed="false">
      <c r="A12" s="36" t="s">
        <v>1917</v>
      </c>
      <c r="B12" s="36" t="s">
        <v>8</v>
      </c>
      <c r="C12" s="5"/>
      <c r="D12" s="5"/>
      <c r="E12" s="5"/>
      <c r="F12" s="5"/>
      <c r="G12" s="5"/>
      <c r="H12" s="5"/>
      <c r="I12" s="5"/>
      <c r="J12" s="5"/>
    </row>
    <row r="13" customFormat="false" ht="14.25" hidden="false" customHeight="true" outlineLevel="0" collapsed="false">
      <c r="A13" s="36" t="s">
        <v>1918</v>
      </c>
      <c r="B13" s="36" t="s">
        <v>128</v>
      </c>
      <c r="C13" s="5"/>
      <c r="D13" s="5"/>
      <c r="E13" s="5"/>
      <c r="F13" s="5"/>
      <c r="G13" s="5"/>
      <c r="H13" s="5"/>
      <c r="I13" s="5"/>
      <c r="J13" s="5"/>
    </row>
    <row r="14" customFormat="false" ht="14.25" hidden="false" customHeight="true" outlineLevel="0" collapsed="false">
      <c r="A14" s="5"/>
      <c r="B14" s="36" t="s">
        <v>15</v>
      </c>
      <c r="C14" s="5"/>
      <c r="D14" s="5"/>
      <c r="E14" s="5"/>
      <c r="F14" s="5"/>
      <c r="G14" s="5"/>
      <c r="H14" s="5"/>
      <c r="I14" s="5"/>
      <c r="J14" s="5"/>
    </row>
    <row r="15" customFormat="false" ht="14.25" hidden="false" customHeight="true" outlineLevel="0" collapsed="false">
      <c r="A15" s="36" t="s">
        <v>229</v>
      </c>
      <c r="B15" s="36" t="s">
        <v>1919</v>
      </c>
      <c r="C15" s="5"/>
      <c r="D15" s="5"/>
      <c r="E15" s="5"/>
      <c r="F15" s="5"/>
      <c r="G15" s="5"/>
      <c r="H15" s="5"/>
      <c r="I15" s="5"/>
      <c r="J15" s="5"/>
    </row>
    <row r="16" customFormat="false" ht="14.25" hidden="false" customHeight="true" outlineLevel="0" collapsed="false">
      <c r="A16" s="37" t="s">
        <v>1920</v>
      </c>
      <c r="B16" s="5"/>
      <c r="C16" s="5"/>
      <c r="D16" s="5"/>
      <c r="E16" s="5"/>
      <c r="F16" s="5"/>
      <c r="G16" s="5"/>
      <c r="H16" s="5"/>
      <c r="I16" s="5"/>
      <c r="J16" s="5"/>
    </row>
    <row r="17" customFormat="false" ht="14.25" hidden="false" customHeight="true" outlineLevel="0" collapsed="false">
      <c r="A17" s="36" t="s">
        <v>1921</v>
      </c>
      <c r="B17" s="36" t="str">
        <f aca="false">IF(Config!B17="PLSS_LOCAL","PLSS_LOCAL (floor-preserving local scope profile)","UNIFORM (1/7 each)")</f>
        <v>PLSS_LOCAL (floor-preserving local scope profile)</v>
      </c>
      <c r="C17" s="5"/>
      <c r="D17" s="5"/>
      <c r="E17" s="5"/>
      <c r="F17" s="5"/>
      <c r="G17" s="5"/>
      <c r="H17" s="5"/>
      <c r="I17" s="5"/>
      <c r="J17" s="5"/>
    </row>
    <row r="18" customFormat="false" ht="14.25" hidden="false" customHeight="true" outlineLevel="0" collapsed="false">
      <c r="A18" s="36" t="s">
        <v>1922</v>
      </c>
      <c r="B18" s="36" t="s">
        <v>298</v>
      </c>
      <c r="C18" s="5"/>
      <c r="D18" s="5"/>
      <c r="E18" s="5"/>
      <c r="F18" s="5"/>
      <c r="G18" s="5"/>
      <c r="H18" s="5"/>
      <c r="I18" s="5"/>
      <c r="J18" s="5"/>
    </row>
    <row r="19" customFormat="false" ht="14.25" hidden="false" customHeight="true" outlineLevel="0" collapsed="false">
      <c r="A19" s="36" t="s">
        <v>1923</v>
      </c>
      <c r="B19" s="36" t="s">
        <v>1924</v>
      </c>
      <c r="C19" s="5"/>
      <c r="D19" s="5"/>
      <c r="E19" s="5"/>
      <c r="F19" s="5"/>
      <c r="G19" s="5"/>
      <c r="H19" s="5"/>
      <c r="I19" s="5"/>
      <c r="J19" s="5"/>
    </row>
    <row r="20" customFormat="false" ht="14.25" hidden="false" customHeight="true" outlineLevel="0" collapsed="false">
      <c r="A20" s="36" t="s">
        <v>1925</v>
      </c>
      <c r="B20" s="36" t="n">
        <v>2</v>
      </c>
      <c r="C20" s="5"/>
      <c r="D20" s="5"/>
      <c r="E20" s="5"/>
      <c r="F20" s="5"/>
      <c r="G20" s="5"/>
      <c r="H20" s="5"/>
      <c r="I20" s="5"/>
      <c r="J20" s="5"/>
    </row>
    <row r="21" customFormat="false" ht="14.25" hidden="false" customHeight="true" outlineLevel="0" collapsed="false">
      <c r="A21" s="36" t="s">
        <v>1926</v>
      </c>
      <c r="B21" s="36" t="n">
        <v>2</v>
      </c>
      <c r="C21" s="5"/>
      <c r="D21" s="5"/>
      <c r="E21" s="5"/>
      <c r="F21" s="5"/>
      <c r="G21" s="5"/>
      <c r="H21" s="5"/>
      <c r="I21" s="5"/>
      <c r="J21" s="5"/>
    </row>
    <row r="22" customFormat="false" ht="14.25" hidden="false" customHeight="true" outlineLevel="0" collapsed="false">
      <c r="A22" s="36" t="s">
        <v>1927</v>
      </c>
      <c r="B22" s="36" t="n">
        <v>-0.1</v>
      </c>
      <c r="C22" s="5"/>
      <c r="D22" s="5"/>
      <c r="E22" s="5"/>
      <c r="F22" s="5"/>
      <c r="G22" s="5"/>
      <c r="H22" s="5"/>
      <c r="I22" s="5"/>
      <c r="J22" s="5"/>
    </row>
    <row r="23" customFormat="false" ht="14.25" hidden="false" customHeight="true" outlineLevel="0" collapsed="false">
      <c r="A23" s="36" t="s">
        <v>670</v>
      </c>
      <c r="B23" s="36" t="n">
        <v>0.05</v>
      </c>
      <c r="C23" s="5"/>
      <c r="D23" s="5"/>
      <c r="E23" s="5"/>
      <c r="F23" s="5"/>
      <c r="G23" s="5"/>
      <c r="H23" s="5"/>
      <c r="I23" s="5"/>
      <c r="J23" s="5"/>
    </row>
    <row r="24" customFormat="false" ht="14.25" hidden="false" customHeight="true" outlineLevel="0" collapsed="false">
      <c r="A24" s="36" t="s">
        <v>256</v>
      </c>
      <c r="B24" s="36" t="n">
        <v>25</v>
      </c>
      <c r="C24" s="5"/>
      <c r="D24" s="5"/>
      <c r="E24" s="5"/>
      <c r="F24" s="5"/>
      <c r="G24" s="5"/>
      <c r="H24" s="5"/>
      <c r="I24" s="5"/>
      <c r="J24" s="5"/>
    </row>
    <row r="25" customFormat="false" ht="14.25" hidden="false" customHeight="true" outlineLevel="0" collapsed="false">
      <c r="A25" s="36" t="s">
        <v>1928</v>
      </c>
      <c r="B25" s="36" t="n">
        <f aca="false">CANON!B18</f>
        <v>0.95</v>
      </c>
      <c r="C25" s="5"/>
      <c r="D25" s="5"/>
      <c r="E25" s="5"/>
      <c r="F25" s="5"/>
      <c r="G25" s="5"/>
      <c r="H25" s="5"/>
      <c r="I25" s="5"/>
      <c r="J25" s="5"/>
    </row>
    <row r="26" customFormat="false" ht="14.25" hidden="false" customHeight="true" outlineLevel="0" collapsed="false">
      <c r="A26" s="36" t="s">
        <v>1929</v>
      </c>
      <c r="B26" s="36" t="n">
        <f aca="false">CANON!B58</f>
        <v>0.2</v>
      </c>
      <c r="C26" s="5"/>
      <c r="D26" s="5"/>
      <c r="E26" s="5"/>
      <c r="F26" s="5"/>
      <c r="G26" s="5"/>
      <c r="H26" s="5"/>
      <c r="I26" s="5"/>
      <c r="J26" s="5"/>
    </row>
    <row r="27" customFormat="false" ht="13.5" hidden="false" customHeight="true" outlineLevel="0" collapsed="false">
      <c r="A27" s="36" t="s">
        <v>1930</v>
      </c>
      <c r="B27" s="36" t="s">
        <v>155</v>
      </c>
      <c r="C27" s="36" t="s">
        <v>1931</v>
      </c>
      <c r="D27" s="5"/>
      <c r="E27" s="5"/>
      <c r="F27" s="5"/>
      <c r="G27" s="5"/>
      <c r="H27" s="5"/>
      <c r="I27" s="5"/>
      <c r="J27" s="5"/>
    </row>
    <row r="28" customFormat="false" ht="13.5" hidden="false" customHeight="true" outlineLevel="0" collapsed="false">
      <c r="A28" s="36" t="s">
        <v>1932</v>
      </c>
      <c r="B28" s="36" t="n">
        <f aca="false">CANON!B26</f>
        <v>0.02</v>
      </c>
      <c r="C28" s="36" t="s">
        <v>1933</v>
      </c>
      <c r="D28" s="5"/>
      <c r="E28" s="5"/>
      <c r="F28" s="5"/>
      <c r="G28" s="5"/>
      <c r="H28" s="5"/>
      <c r="I28" s="5"/>
      <c r="J28" s="5"/>
    </row>
    <row r="29" customFormat="false" ht="14.25" hidden="false" customHeight="true" outlineLevel="0" collapsed="false">
      <c r="A29" s="37" t="s">
        <v>1934</v>
      </c>
      <c r="B29" s="5"/>
      <c r="C29" s="5"/>
      <c r="D29" s="5"/>
      <c r="E29" s="5"/>
      <c r="F29" s="5"/>
      <c r="G29" s="5"/>
      <c r="H29" s="5"/>
      <c r="I29" s="5"/>
      <c r="J29" s="5"/>
    </row>
    <row r="30" customFormat="false" ht="14.25" hidden="false" customHeight="true" outlineLevel="0" collapsed="false">
      <c r="A30" s="36" t="s">
        <v>1935</v>
      </c>
      <c r="B30" s="36" t="s">
        <v>1936</v>
      </c>
      <c r="C30" s="5"/>
      <c r="D30" s="5"/>
      <c r="E30" s="5"/>
      <c r="F30" s="5"/>
      <c r="G30" s="5"/>
      <c r="H30" s="5"/>
      <c r="I30" s="5"/>
      <c r="J30" s="5"/>
    </row>
    <row r="31" customFormat="false" ht="14.25" hidden="false" customHeight="true" outlineLevel="0" collapsed="false">
      <c r="A31" s="36" t="s">
        <v>1937</v>
      </c>
      <c r="B31" s="36" t="s">
        <v>1938</v>
      </c>
      <c r="C31" s="5"/>
      <c r="D31" s="5"/>
      <c r="E31" s="5"/>
      <c r="F31" s="5"/>
      <c r="G31" s="5"/>
      <c r="H31" s="5"/>
      <c r="I31" s="5"/>
      <c r="J31" s="5"/>
    </row>
    <row r="32" customFormat="false" ht="14.25" hidden="false" customHeight="true" outlineLevel="0" collapsed="false">
      <c r="A32" s="36" t="s">
        <v>1939</v>
      </c>
      <c r="B32" s="50" t="n">
        <v>70</v>
      </c>
      <c r="C32" s="5"/>
      <c r="D32" s="5"/>
      <c r="E32" s="5"/>
      <c r="F32" s="5"/>
      <c r="G32" s="5"/>
      <c r="H32" s="5"/>
      <c r="I32" s="5"/>
      <c r="J32" s="5"/>
    </row>
    <row r="33" customFormat="false" ht="42" hidden="false" customHeight="true" outlineLevel="0" collapsed="false">
      <c r="A33" s="36" t="s">
        <v>1940</v>
      </c>
      <c r="B33" s="36" t="s">
        <v>1941</v>
      </c>
      <c r="C33" s="5"/>
      <c r="D33" s="5"/>
      <c r="E33" s="5"/>
      <c r="F33" s="5"/>
      <c r="G33" s="5"/>
      <c r="H33" s="5"/>
      <c r="I33" s="5"/>
      <c r="J33" s="5"/>
    </row>
    <row r="34" customFormat="false" ht="13.5" hidden="false" customHeight="true" outlineLevel="0" collapsed="false">
      <c r="A34" s="36" t="s">
        <v>1942</v>
      </c>
      <c r="B34" s="36" t="s">
        <v>1943</v>
      </c>
      <c r="C34" s="36" t="s">
        <v>1944</v>
      </c>
      <c r="D34" s="5"/>
      <c r="E34" s="5"/>
      <c r="F34" s="5"/>
      <c r="G34" s="5"/>
      <c r="H34" s="5"/>
      <c r="I34" s="5"/>
      <c r="J34" s="5"/>
    </row>
    <row r="35" customFormat="false" ht="13.5" hidden="false" customHeight="true" outlineLevel="0" collapsed="false">
      <c r="A35" s="36" t="s">
        <v>1945</v>
      </c>
      <c r="B35" s="36" t="s">
        <v>1946</v>
      </c>
      <c r="C35" s="36" t="s">
        <v>1947</v>
      </c>
      <c r="D35" s="5"/>
      <c r="E35" s="5"/>
      <c r="F35" s="5"/>
      <c r="G35" s="5"/>
      <c r="H35" s="5"/>
      <c r="I35" s="5"/>
      <c r="J35" s="5"/>
    </row>
    <row r="36" customFormat="false" ht="14.25" hidden="false" customHeight="true" outlineLevel="0" collapsed="false">
      <c r="A36" s="36" t="s">
        <v>1948</v>
      </c>
      <c r="B36" s="36" t="s">
        <v>1949</v>
      </c>
      <c r="C36" s="36" t="s">
        <v>1950</v>
      </c>
      <c r="D36" s="5"/>
      <c r="E36" s="5"/>
      <c r="F36" s="5"/>
      <c r="G36" s="5"/>
      <c r="H36" s="5"/>
      <c r="I36" s="5"/>
      <c r="J36" s="5"/>
    </row>
    <row r="37" customFormat="false" ht="14.25" hidden="false" customHeight="true" outlineLevel="0" collapsed="false">
      <c r="A37" s="36" t="s">
        <v>1951</v>
      </c>
      <c r="B37" s="36" t="s">
        <v>1952</v>
      </c>
      <c r="C37" s="36" t="s">
        <v>1953</v>
      </c>
      <c r="D37" s="5"/>
      <c r="E37" s="5"/>
      <c r="F37" s="5"/>
      <c r="G37" s="5"/>
      <c r="H37" s="5"/>
      <c r="I37" s="5"/>
      <c r="J37" s="5"/>
    </row>
    <row r="38" customFormat="false" ht="14.25" hidden="false" customHeight="true" outlineLevel="0" collapsed="false">
      <c r="A38" s="37" t="s">
        <v>1954</v>
      </c>
      <c r="B38" s="5"/>
      <c r="C38" s="5"/>
      <c r="D38" s="5"/>
      <c r="E38" s="5"/>
      <c r="F38" s="5"/>
      <c r="G38" s="5"/>
      <c r="H38" s="5"/>
      <c r="I38" s="5"/>
      <c r="J38" s="5"/>
    </row>
    <row r="39" customFormat="false" ht="14.25" hidden="false" customHeight="true" outlineLevel="0" collapsed="false">
      <c r="A39" s="36" t="s">
        <v>1955</v>
      </c>
      <c r="B39" s="22" t="s">
        <v>1956</v>
      </c>
      <c r="C39" s="5"/>
      <c r="D39" s="5"/>
      <c r="E39" s="5"/>
      <c r="F39" s="5"/>
      <c r="G39" s="5"/>
      <c r="H39" s="5"/>
      <c r="I39" s="5"/>
      <c r="J39" s="5"/>
    </row>
    <row r="40" customFormat="false" ht="14.25" hidden="false" customHeight="true" outlineLevel="0" collapsed="false">
      <c r="A40" s="36" t="s">
        <v>1957</v>
      </c>
      <c r="B40" s="36" t="s">
        <v>1958</v>
      </c>
      <c r="C40" s="5"/>
      <c r="D40" s="5"/>
      <c r="E40" s="5"/>
      <c r="F40" s="5"/>
      <c r="G40" s="5"/>
      <c r="H40" s="5"/>
      <c r="I40" s="5"/>
      <c r="J40" s="5"/>
    </row>
    <row r="41" customFormat="false" ht="14.25" hidden="false" customHeight="true" outlineLevel="0" collapsed="false">
      <c r="A41" s="36" t="s">
        <v>1959</v>
      </c>
      <c r="B41" s="36" t="s">
        <v>1960</v>
      </c>
      <c r="C41" s="5"/>
      <c r="D41" s="5"/>
      <c r="E41" s="5"/>
      <c r="F41" s="5"/>
      <c r="G41" s="5"/>
      <c r="H41" s="5"/>
      <c r="I41" s="5"/>
      <c r="J41" s="5"/>
    </row>
    <row r="42" customFormat="false" ht="14.25" hidden="false" customHeight="true" outlineLevel="0" collapsed="false">
      <c r="A42" s="36" t="s">
        <v>1961</v>
      </c>
      <c r="B42" s="36" t="s">
        <v>1962</v>
      </c>
      <c r="C42" s="5"/>
      <c r="D42" s="5"/>
      <c r="E42" s="5"/>
      <c r="F42" s="5"/>
      <c r="G42" s="5"/>
      <c r="H42" s="5"/>
      <c r="I42" s="5"/>
      <c r="J42" s="5"/>
    </row>
    <row r="43" customFormat="false" ht="13.5" hidden="false" customHeight="true" outlineLevel="0" collapsed="false">
      <c r="A43" s="36" t="s">
        <v>1963</v>
      </c>
      <c r="B43" s="36" t="s">
        <v>1964</v>
      </c>
      <c r="C43" s="5"/>
      <c r="D43" s="5"/>
      <c r="E43" s="5"/>
      <c r="F43" s="5"/>
      <c r="G43" s="5"/>
      <c r="H43" s="5"/>
      <c r="I43" s="5"/>
      <c r="J43" s="5"/>
    </row>
    <row r="44" customFormat="false" ht="14.25" hidden="false" customHeight="true" outlineLevel="0" collapsed="false">
      <c r="A44" s="36" t="s">
        <v>1965</v>
      </c>
      <c r="B44" s="36" t="str">
        <f aca="false">IF(WTSL_Categories!$B$17&gt;=WTSL_Categories!$B$16,"YES","NO")</f>
        <v>YES</v>
      </c>
      <c r="C44" s="5"/>
      <c r="D44" s="5"/>
      <c r="E44" s="5"/>
      <c r="F44" s="5"/>
      <c r="G44" s="5"/>
      <c r="H44" s="5"/>
      <c r="I44" s="5"/>
      <c r="J44" s="5"/>
    </row>
    <row r="45" customFormat="false" ht="12.75" hidden="false" customHeight="false" outlineLevel="0" collapsed="false">
      <c r="A45" s="5"/>
      <c r="B45" s="5"/>
      <c r="C45" s="5"/>
      <c r="D45" s="5"/>
      <c r="E45" s="5"/>
      <c r="F45" s="5"/>
      <c r="G45" s="5"/>
      <c r="H45" s="5"/>
      <c r="I45" s="5"/>
      <c r="J45" s="5"/>
    </row>
    <row r="46" customFormat="false" ht="14.25" hidden="false" customHeight="true" outlineLevel="0" collapsed="false">
      <c r="A46" s="5"/>
      <c r="B46" s="36" t="s">
        <v>348</v>
      </c>
      <c r="C46" s="5"/>
      <c r="D46" s="5"/>
      <c r="E46" s="5"/>
      <c r="F46" s="5"/>
      <c r="G46" s="5"/>
      <c r="H46" s="5"/>
      <c r="I46" s="5"/>
      <c r="J46" s="5"/>
    </row>
    <row r="47" customFormat="false" ht="14.25" hidden="false" customHeight="true" outlineLevel="0" collapsed="false">
      <c r="A47" s="37" t="s">
        <v>1966</v>
      </c>
      <c r="B47" s="36" t="s">
        <v>348</v>
      </c>
      <c r="C47" s="5"/>
      <c r="D47" s="5"/>
      <c r="E47" s="5"/>
      <c r="F47" s="5"/>
      <c r="G47" s="5"/>
      <c r="H47" s="5"/>
      <c r="I47" s="5"/>
      <c r="J47" s="5"/>
    </row>
    <row r="48" customFormat="false" ht="14.25" hidden="false" customHeight="true" outlineLevel="0" collapsed="false">
      <c r="A48" s="36" t="s">
        <v>1967</v>
      </c>
      <c r="B48" s="50" t="s">
        <v>348</v>
      </c>
      <c r="C48" s="5"/>
      <c r="D48" s="5"/>
      <c r="E48" s="5"/>
      <c r="F48" s="5"/>
      <c r="G48" s="5"/>
      <c r="H48" s="5"/>
      <c r="I48" s="5"/>
      <c r="J48" s="5"/>
    </row>
    <row r="49" customFormat="false" ht="14.25" hidden="false" customHeight="true" outlineLevel="0" collapsed="false">
      <c r="A49" s="36" t="s">
        <v>1968</v>
      </c>
      <c r="B49" s="50" t="s">
        <v>348</v>
      </c>
      <c r="C49" s="5"/>
      <c r="D49" s="5"/>
      <c r="E49" s="5"/>
      <c r="F49" s="5"/>
      <c r="G49" s="5"/>
      <c r="H49" s="5"/>
      <c r="I49" s="5"/>
      <c r="J49" s="5"/>
    </row>
    <row r="50" customFormat="false" ht="14.25" hidden="false" customHeight="true" outlineLevel="0" collapsed="false">
      <c r="A50" s="36" t="s">
        <v>1969</v>
      </c>
      <c r="B50" s="68" t="s">
        <v>1970</v>
      </c>
      <c r="C50" s="5"/>
      <c r="D50" s="5"/>
      <c r="E50" s="5"/>
      <c r="F50" s="5"/>
      <c r="G50" s="5"/>
      <c r="H50" s="5"/>
      <c r="I50" s="5"/>
      <c r="J50" s="5"/>
    </row>
    <row r="51" customFormat="false" ht="14.25" hidden="false" customHeight="true" outlineLevel="0" collapsed="false">
      <c r="A51" s="36" t="s">
        <v>198</v>
      </c>
      <c r="B51" s="67" t="n">
        <v>0.0219</v>
      </c>
      <c r="C51" s="5"/>
      <c r="D51" s="5"/>
      <c r="E51" s="5"/>
      <c r="F51" s="5"/>
      <c r="G51" s="5"/>
      <c r="H51" s="5"/>
      <c r="I51" s="5"/>
      <c r="J51" s="5"/>
    </row>
    <row r="52" customFormat="false" ht="14.25" hidden="false" customHeight="true" outlineLevel="0" collapsed="false">
      <c r="A52" s="36" t="s">
        <v>199</v>
      </c>
      <c r="B52" s="67" t="n">
        <v>0.0315</v>
      </c>
      <c r="C52" s="5"/>
      <c r="D52" s="5"/>
      <c r="E52" s="5"/>
      <c r="F52" s="5"/>
      <c r="G52" s="5"/>
      <c r="H52" s="5"/>
      <c r="I52" s="5"/>
      <c r="J52" s="5"/>
    </row>
    <row r="53" customFormat="false" ht="14.25" hidden="false" customHeight="true" outlineLevel="0" collapsed="false">
      <c r="A53" s="36" t="s">
        <v>1971</v>
      </c>
      <c r="B53" s="67" t="s">
        <v>1972</v>
      </c>
      <c r="C53" s="5"/>
      <c r="D53" s="5"/>
      <c r="E53" s="5"/>
      <c r="F53" s="5"/>
      <c r="G53" s="5"/>
      <c r="H53" s="5"/>
      <c r="I53" s="5"/>
      <c r="J53" s="5"/>
    </row>
    <row r="54" customFormat="false" ht="14.25" hidden="false" customHeight="true" outlineLevel="0" collapsed="false">
      <c r="A54" s="36" t="s">
        <v>1973</v>
      </c>
      <c r="B54" s="68" t="s">
        <v>146</v>
      </c>
      <c r="C54" s="5"/>
      <c r="D54" s="5"/>
      <c r="E54" s="5"/>
      <c r="F54" s="5"/>
      <c r="G54" s="5"/>
      <c r="H54" s="5"/>
      <c r="I54" s="5"/>
      <c r="J54" s="5"/>
    </row>
    <row r="55" customFormat="false" ht="14.25" hidden="false" customHeight="true" outlineLevel="0" collapsed="false">
      <c r="A55" s="36" t="s">
        <v>1974</v>
      </c>
      <c r="B55" s="50" t="s">
        <v>1975</v>
      </c>
      <c r="C55" s="36" t="s">
        <v>1976</v>
      </c>
      <c r="D55" s="5"/>
      <c r="E55" s="5"/>
      <c r="F55" s="5"/>
      <c r="G55" s="5"/>
      <c r="H55" s="5"/>
      <c r="I55" s="5"/>
      <c r="J55" s="5"/>
    </row>
    <row r="56" customFormat="false" ht="14.25" hidden="false" customHeight="true" outlineLevel="0" collapsed="false">
      <c r="A56" s="36" t="s">
        <v>1977</v>
      </c>
      <c r="B56" s="50" t="s">
        <v>1978</v>
      </c>
      <c r="C56" s="36" t="s">
        <v>1976</v>
      </c>
      <c r="D56" s="5"/>
      <c r="E56" s="5"/>
      <c r="F56" s="5"/>
      <c r="G56" s="5"/>
      <c r="H56" s="5"/>
      <c r="I56" s="5"/>
      <c r="J56" s="5"/>
    </row>
    <row r="57" customFormat="false" ht="14.25" hidden="false" customHeight="true" outlineLevel="0" collapsed="false">
      <c r="A57" s="36" t="s">
        <v>207</v>
      </c>
      <c r="B57" s="49" t="n">
        <f aca="false">CANON!B63</f>
        <v>0.0153129427168233</v>
      </c>
      <c r="C57" s="5"/>
      <c r="D57" s="5"/>
      <c r="E57" s="5"/>
      <c r="F57" s="5"/>
      <c r="G57" s="5"/>
      <c r="H57" s="5"/>
      <c r="I57" s="5"/>
      <c r="J57" s="5"/>
    </row>
    <row r="58" customFormat="false" ht="13.5" hidden="false" customHeight="true" outlineLevel="0" collapsed="false">
      <c r="A58" s="36" t="s">
        <v>208</v>
      </c>
      <c r="B58" s="49" t="n">
        <f aca="false">CANON!B64</f>
        <v>-0.00112238738505248</v>
      </c>
      <c r="C58" s="5"/>
      <c r="D58" s="5"/>
      <c r="E58" s="5"/>
      <c r="F58" s="5"/>
      <c r="G58" s="5"/>
      <c r="H58" s="5"/>
      <c r="I58" s="5"/>
      <c r="J58" s="5"/>
    </row>
    <row r="59" customFormat="false" ht="14.25" hidden="false" customHeight="true" outlineLevel="0" collapsed="false">
      <c r="A59" s="36" t="s">
        <v>1979</v>
      </c>
      <c r="B59" s="36" t="s">
        <v>146</v>
      </c>
      <c r="C59" s="5"/>
      <c r="D59" s="5"/>
      <c r="E59" s="5"/>
      <c r="F59" s="5"/>
      <c r="G59" s="5"/>
      <c r="H59" s="5"/>
      <c r="I59" s="5"/>
      <c r="J59" s="5"/>
    </row>
    <row r="60" customFormat="false" ht="12.75" hidden="false" customHeight="false" outlineLevel="0" collapsed="false">
      <c r="A60" s="5"/>
      <c r="B60" s="5"/>
      <c r="C60" s="5"/>
      <c r="D60" s="5"/>
      <c r="E60" s="5"/>
      <c r="F60" s="5"/>
      <c r="G60" s="5"/>
      <c r="H60" s="5"/>
      <c r="I60" s="5"/>
      <c r="J60" s="5"/>
    </row>
    <row r="61" customFormat="false" ht="14.25" hidden="false" customHeight="true" outlineLevel="0" collapsed="false">
      <c r="A61" s="22" t="s">
        <v>1980</v>
      </c>
      <c r="B61" s="36"/>
      <c r="C61" s="5"/>
      <c r="D61" s="5"/>
      <c r="E61" s="5"/>
      <c r="F61" s="5"/>
      <c r="G61" s="5"/>
      <c r="H61" s="5"/>
      <c r="I61" s="5"/>
      <c r="J61" s="5"/>
    </row>
    <row r="62" customFormat="false" ht="14.25" hidden="false" customHeight="true" outlineLevel="0" collapsed="false">
      <c r="A62" s="37"/>
      <c r="B62" s="36"/>
      <c r="C62" s="5"/>
      <c r="D62" s="5"/>
      <c r="E62" s="5"/>
      <c r="F62" s="5"/>
      <c r="G62" s="5"/>
      <c r="H62" s="5"/>
      <c r="I62" s="5"/>
      <c r="J62" s="5"/>
    </row>
    <row r="63" customFormat="false" ht="14.25" hidden="false" customHeight="true" outlineLevel="0" collapsed="false">
      <c r="A63" s="36" t="s">
        <v>1981</v>
      </c>
      <c r="B63" s="36"/>
      <c r="C63" s="5"/>
      <c r="D63" s="5"/>
      <c r="E63" s="5"/>
      <c r="F63" s="5"/>
      <c r="G63" s="5"/>
      <c r="H63" s="5"/>
      <c r="I63" s="5"/>
      <c r="J63" s="5"/>
    </row>
    <row r="64" customFormat="false" ht="14.25" hidden="false" customHeight="true" outlineLevel="0" collapsed="false">
      <c r="A64" s="36" t="s">
        <v>1982</v>
      </c>
      <c r="B64" s="36" t="str">
        <f aca="false">Verdict_Hardening!B30</f>
        <v>REFUSE_DETERMINISTIC_SELECTION</v>
      </c>
      <c r="C64" s="22" t="s">
        <v>1983</v>
      </c>
      <c r="D64" s="5"/>
      <c r="E64" s="5"/>
      <c r="F64" s="5"/>
      <c r="G64" s="5"/>
      <c r="H64" s="5"/>
      <c r="I64" s="5"/>
      <c r="J64" s="5"/>
    </row>
    <row r="65" customFormat="false" ht="14.25" hidden="false" customHeight="true" outlineLevel="0" collapsed="false">
      <c r="A65" s="36" t="s">
        <v>1984</v>
      </c>
      <c r="B65" s="69" t="str">
        <f aca="false">Verdict_Hardening!B31</f>
        <v>{A, B}</v>
      </c>
      <c r="C65" s="5"/>
      <c r="D65" s="5"/>
      <c r="E65" s="5"/>
      <c r="F65" s="5"/>
      <c r="G65" s="5"/>
      <c r="H65" s="5"/>
      <c r="I65" s="5"/>
      <c r="J65" s="5"/>
    </row>
    <row r="66" customFormat="false" ht="14.25" hidden="false" customHeight="true" outlineLevel="0" collapsed="false">
      <c r="A66" s="36" t="s">
        <v>1985</v>
      </c>
      <c r="B66" s="36" t="str">
        <f aca="false">Verdict_Hardening!B32</f>
        <v>NO</v>
      </c>
      <c r="C66" s="5"/>
      <c r="D66" s="5"/>
      <c r="E66" s="5"/>
      <c r="F66" s="5"/>
      <c r="G66" s="5"/>
      <c r="H66" s="5"/>
      <c r="I66" s="5"/>
      <c r="J66" s="5"/>
    </row>
    <row r="67" customFormat="false" ht="14.25" hidden="false" customHeight="true" outlineLevel="0" collapsed="false">
      <c r="A67" s="36" t="s">
        <v>1298</v>
      </c>
      <c r="B67" s="36" t="s">
        <v>971</v>
      </c>
      <c r="C67" s="22" t="s">
        <v>1986</v>
      </c>
      <c r="D67" s="5"/>
      <c r="E67" s="5"/>
      <c r="F67" s="5"/>
      <c r="G67" s="5"/>
      <c r="H67" s="5"/>
      <c r="I67" s="5"/>
      <c r="J67" s="5"/>
    </row>
    <row r="68" customFormat="false" ht="14.25" hidden="false" customHeight="true" outlineLevel="0" collapsed="false">
      <c r="A68" s="36" t="s">
        <v>1987</v>
      </c>
      <c r="B68" s="36" t="s">
        <v>1988</v>
      </c>
      <c r="C68" s="5"/>
      <c r="D68" s="5"/>
      <c r="E68" s="5"/>
      <c r="F68" s="5"/>
      <c r="G68" s="5"/>
      <c r="H68" s="5"/>
      <c r="I68" s="5"/>
      <c r="J68" s="5"/>
    </row>
    <row r="69" customFormat="false" ht="14.25" hidden="false" customHeight="true" outlineLevel="0" collapsed="false">
      <c r="A69" s="36" t="s">
        <v>1989</v>
      </c>
      <c r="B69" s="36" t="s">
        <v>1990</v>
      </c>
      <c r="C69" s="5"/>
      <c r="D69" s="5"/>
      <c r="E69" s="5"/>
      <c r="F69" s="5"/>
      <c r="G69" s="5"/>
      <c r="H69" s="5"/>
      <c r="I69" s="5"/>
      <c r="J69" s="5"/>
    </row>
    <row r="70" customFormat="false" ht="14.25" hidden="false" customHeight="true" outlineLevel="0" collapsed="false">
      <c r="A70" s="36" t="s">
        <v>1991</v>
      </c>
      <c r="B70" s="36" t="s">
        <v>1992</v>
      </c>
      <c r="C70" s="5"/>
      <c r="D70" s="5"/>
      <c r="E70" s="5"/>
      <c r="F70" s="5"/>
      <c r="G70" s="5"/>
      <c r="H70" s="5"/>
      <c r="I70" s="5"/>
      <c r="J70" s="5"/>
    </row>
    <row r="71" customFormat="false" ht="14.25" hidden="false" customHeight="true" outlineLevel="0" collapsed="false">
      <c r="A71" s="36" t="s">
        <v>1993</v>
      </c>
      <c r="B71" s="36" t="s">
        <v>1972</v>
      </c>
      <c r="C71" s="5"/>
      <c r="D71" s="5"/>
      <c r="E71" s="5"/>
      <c r="F71" s="5"/>
      <c r="G71" s="5"/>
      <c r="H71" s="5"/>
      <c r="I71" s="5"/>
      <c r="J71" s="5"/>
    </row>
    <row r="72" customFormat="false" ht="14.25" hidden="false" customHeight="true" outlineLevel="0" collapsed="false">
      <c r="A72" s="5"/>
      <c r="B72" s="36" t="s">
        <v>15</v>
      </c>
      <c r="C72" s="5"/>
      <c r="D72" s="5"/>
      <c r="E72" s="5"/>
      <c r="F72" s="5"/>
      <c r="G72" s="5"/>
      <c r="H72" s="5"/>
      <c r="I72" s="5"/>
      <c r="J72" s="5"/>
    </row>
    <row r="73" customFormat="false" ht="14.25" hidden="false" customHeight="true" outlineLevel="0" collapsed="false">
      <c r="A73" s="65" t="s">
        <v>1994</v>
      </c>
      <c r="B73" s="5"/>
      <c r="C73" s="5"/>
      <c r="D73" s="5"/>
      <c r="E73" s="5"/>
      <c r="F73" s="5"/>
      <c r="G73" s="5"/>
      <c r="H73" s="5"/>
      <c r="I73" s="5"/>
      <c r="J73" s="5"/>
    </row>
    <row r="74" customFormat="false" ht="14.25" hidden="false" customHeight="true" outlineLevel="0" collapsed="false">
      <c r="A74" s="37" t="s">
        <v>1995</v>
      </c>
      <c r="B74" s="36" t="n">
        <f aca="false">Audit_Flags!B21</f>
        <v>0</v>
      </c>
      <c r="C74" s="5"/>
      <c r="D74" s="5"/>
      <c r="E74" s="5"/>
      <c r="F74" s="5"/>
      <c r="G74" s="5"/>
      <c r="H74" s="5"/>
      <c r="I74" s="5"/>
      <c r="J74" s="5"/>
    </row>
    <row r="75" customFormat="false" ht="14.25" hidden="false" customHeight="true" outlineLevel="0" collapsed="false">
      <c r="A75" s="36" t="s">
        <v>1996</v>
      </c>
      <c r="B75" s="36" t="n">
        <f aca="false">Audit_Flags!B22</f>
        <v>0</v>
      </c>
      <c r="C75" s="5"/>
      <c r="D75" s="5"/>
      <c r="E75" s="5"/>
      <c r="F75" s="5"/>
      <c r="G75" s="5"/>
      <c r="H75" s="5"/>
      <c r="I75" s="5"/>
      <c r="J75" s="5"/>
    </row>
    <row r="76" customFormat="false" ht="14.25" hidden="false" customHeight="true" outlineLevel="0" collapsed="false">
      <c r="A76" s="68" t="s">
        <v>1997</v>
      </c>
      <c r="B76" s="36" t="n">
        <v>0</v>
      </c>
      <c r="C76" s="36" t="s">
        <v>1998</v>
      </c>
      <c r="D76" s="5"/>
      <c r="E76" s="5"/>
      <c r="F76" s="5"/>
      <c r="G76" s="5"/>
      <c r="H76" s="5"/>
      <c r="I76" s="5"/>
      <c r="J76" s="5"/>
    </row>
    <row r="77" customFormat="false" ht="13.5" hidden="false" customHeight="true" outlineLevel="0" collapsed="false">
      <c r="A77" s="36" t="s">
        <v>1999</v>
      </c>
      <c r="B77" s="36" t="n">
        <v>1</v>
      </c>
      <c r="C77" s="5"/>
      <c r="D77" s="5"/>
      <c r="E77" s="5"/>
      <c r="F77" s="5"/>
      <c r="G77" s="5"/>
      <c r="H77" s="5"/>
      <c r="I77" s="5"/>
      <c r="J77" s="5"/>
    </row>
    <row r="78" customFormat="false" ht="14.25" hidden="false" customHeight="true" outlineLevel="0" collapsed="false">
      <c r="A78" s="22" t="s">
        <v>2000</v>
      </c>
      <c r="B78" s="36" t="s">
        <v>2001</v>
      </c>
      <c r="C78" s="5"/>
      <c r="D78" s="5"/>
      <c r="E78" s="5"/>
      <c r="F78" s="5"/>
      <c r="G78" s="5"/>
      <c r="H78" s="5"/>
      <c r="I78" s="5"/>
      <c r="J78" s="5"/>
    </row>
    <row r="79" customFormat="false" ht="12.75" hidden="false" customHeight="true" outlineLevel="0" collapsed="false">
      <c r="A79" s="5"/>
      <c r="B79" s="22" t="s">
        <v>2002</v>
      </c>
      <c r="C79" s="5"/>
      <c r="D79" s="5"/>
      <c r="E79" s="5"/>
      <c r="F79" s="5"/>
      <c r="G79" s="5"/>
      <c r="H79" s="5"/>
      <c r="I79" s="5"/>
      <c r="J79" s="5"/>
    </row>
    <row r="80" customFormat="false" ht="12.75" hidden="false" customHeight="true" outlineLevel="0" collapsed="false">
      <c r="A80" s="10" t="s">
        <v>2003</v>
      </c>
      <c r="B80" s="5"/>
      <c r="C80" s="5"/>
      <c r="D80" s="5"/>
      <c r="E80" s="5"/>
      <c r="F80" s="5"/>
      <c r="G80" s="5"/>
      <c r="H80" s="5"/>
      <c r="I80" s="5"/>
      <c r="J80" s="5"/>
    </row>
    <row r="81" customFormat="false" ht="52.5" hidden="false" customHeight="true" outlineLevel="0" collapsed="false">
      <c r="A81" s="23" t="s">
        <v>2004</v>
      </c>
      <c r="B81" s="7" t="s">
        <v>2005</v>
      </c>
      <c r="C81" s="5"/>
      <c r="D81" s="5"/>
      <c r="E81" s="5"/>
      <c r="F81" s="5"/>
      <c r="G81" s="5"/>
      <c r="H81" s="5"/>
      <c r="I81" s="5"/>
      <c r="J81" s="5"/>
    </row>
    <row r="82" customFormat="false" ht="39" hidden="false" customHeight="true" outlineLevel="0" collapsed="false">
      <c r="A82" s="7" t="s">
        <v>2006</v>
      </c>
      <c r="B82" s="7" t="s">
        <v>2007</v>
      </c>
      <c r="C82" s="5"/>
      <c r="D82" s="5"/>
      <c r="E82" s="5"/>
      <c r="F82" s="5"/>
      <c r="G82" s="5"/>
      <c r="H82" s="5"/>
      <c r="I82" s="5"/>
      <c r="J82" s="5"/>
    </row>
    <row r="83" customFormat="false" ht="39" hidden="false" customHeight="true" outlineLevel="0" collapsed="false">
      <c r="A83" s="7" t="s">
        <v>2008</v>
      </c>
      <c r="B83" s="7" t="s">
        <v>2009</v>
      </c>
      <c r="C83" s="5"/>
      <c r="D83" s="5"/>
      <c r="E83" s="5"/>
      <c r="F83" s="5"/>
      <c r="G83" s="5"/>
      <c r="H83" s="5"/>
      <c r="I83" s="5"/>
      <c r="J83" s="5"/>
    </row>
    <row r="84" customFormat="false" ht="48" hidden="false" customHeight="true" outlineLevel="0" collapsed="false">
      <c r="A84" s="7" t="s">
        <v>2010</v>
      </c>
      <c r="B84" s="7" t="s">
        <v>2011</v>
      </c>
      <c r="C84" s="5"/>
      <c r="D84" s="5"/>
      <c r="E84" s="5"/>
      <c r="F84" s="5"/>
      <c r="G84" s="5"/>
      <c r="H84" s="5"/>
      <c r="I84" s="5"/>
      <c r="J84" s="5"/>
    </row>
    <row r="85" customFormat="false" ht="66" hidden="false" customHeight="true" outlineLevel="0" collapsed="false">
      <c r="A85" s="7" t="s">
        <v>2012</v>
      </c>
      <c r="B85" s="7" t="s">
        <v>2013</v>
      </c>
      <c r="C85" s="5"/>
      <c r="D85" s="5"/>
      <c r="E85" s="5"/>
      <c r="F85" s="5"/>
      <c r="G85" s="5"/>
      <c r="H85" s="5"/>
      <c r="I85" s="5"/>
      <c r="J85" s="5"/>
    </row>
    <row r="86" customFormat="false" ht="66" hidden="false" customHeight="true" outlineLevel="0" collapsed="false">
      <c r="A86" s="7" t="s">
        <v>2014</v>
      </c>
      <c r="B86" s="7" t="s">
        <v>2015</v>
      </c>
      <c r="C86" s="5"/>
      <c r="D86" s="5"/>
      <c r="E86" s="5"/>
      <c r="F86" s="5"/>
      <c r="G86" s="5"/>
      <c r="H86" s="5"/>
      <c r="I86" s="5"/>
      <c r="J86" s="5"/>
    </row>
    <row r="87" customFormat="false" ht="12.75" hidden="false" customHeight="true" outlineLevel="0" collapsed="false">
      <c r="A87" s="5"/>
      <c r="B87" s="5"/>
      <c r="C87" s="5"/>
      <c r="D87" s="5"/>
      <c r="E87" s="5"/>
      <c r="F87" s="5"/>
      <c r="G87" s="5"/>
      <c r="H87" s="5"/>
      <c r="I87" s="5"/>
      <c r="J87" s="5"/>
    </row>
    <row r="88" customFormat="false" ht="12.75" hidden="false" customHeight="true" outlineLevel="0" collapsed="false">
      <c r="A88" s="5"/>
      <c r="B88" s="5"/>
      <c r="C88" s="5"/>
      <c r="D88" s="5"/>
      <c r="E88" s="5"/>
      <c r="F88" s="5"/>
      <c r="G88" s="5"/>
      <c r="H88" s="5"/>
      <c r="I88" s="5"/>
      <c r="J88" s="5"/>
    </row>
    <row r="89" customFormat="false" ht="12.75" hidden="false" customHeight="true" outlineLevel="0" collapsed="false">
      <c r="A89" s="23" t="s">
        <v>2016</v>
      </c>
      <c r="B89" s="5"/>
      <c r="C89" s="5"/>
      <c r="D89" s="5"/>
      <c r="E89" s="5"/>
      <c r="F89" s="5"/>
      <c r="G89" s="5"/>
      <c r="H89" s="5"/>
      <c r="I89" s="5"/>
      <c r="J89" s="5"/>
    </row>
    <row r="90" customFormat="false" ht="26.25" hidden="false" customHeight="true" outlineLevel="0" collapsed="false">
      <c r="A90" s="7" t="str">
        <f aca="false">IF(Dashboard!$B$36="YES","Objective: Reduce selected option CVaR ("&amp;TEXT(MIN(TRC!$H$15,TRC!$H$28),"0.000")&amp;") to ≤ τ_TRC ("&amp;TEXT(Config!$B$12,"0.00")&amp;") via mitigation within a defined timeline.","Objective: Maintain CVaR ≤ τ_TRC ("&amp;TEXT(Config!$B$12,"0.00")&amp;") and monitor tail-risk assumptions.")</f>
        <v>Objective: Maintain CVaR ≤ τ_TRC (0.20) and monitor tail-risk assumptions.</v>
      </c>
      <c r="B90" s="5"/>
      <c r="C90" s="5"/>
      <c r="D90" s="5"/>
      <c r="E90" s="5"/>
      <c r="F90" s="5"/>
      <c r="G90" s="5"/>
      <c r="H90" s="5"/>
      <c r="I90" s="5"/>
      <c r="J90" s="5"/>
    </row>
    <row r="91" customFormat="false" ht="12.75" hidden="false" customHeight="true" outlineLevel="0" collapsed="false">
      <c r="A91" s="7" t="s">
        <v>2017</v>
      </c>
      <c r="B91" s="7" t="s">
        <v>2018</v>
      </c>
      <c r="C91" s="7" t="s">
        <v>2019</v>
      </c>
      <c r="D91" s="5"/>
      <c r="E91" s="5"/>
      <c r="F91" s="5"/>
      <c r="G91" s="5"/>
      <c r="H91" s="5"/>
      <c r="I91" s="5"/>
      <c r="J91" s="5"/>
    </row>
    <row r="92" customFormat="false" ht="12.75" hidden="false" customHeight="true" outlineLevel="0" collapsed="false">
      <c r="A92" s="7" t="s">
        <v>2020</v>
      </c>
      <c r="B92" s="7" t="s">
        <v>2021</v>
      </c>
      <c r="C92" s="7" t="s">
        <v>2019</v>
      </c>
      <c r="D92" s="5"/>
      <c r="E92" s="5"/>
      <c r="F92" s="5"/>
      <c r="G92" s="5"/>
      <c r="H92" s="5"/>
      <c r="I92" s="5"/>
      <c r="J92" s="5"/>
    </row>
    <row r="93" customFormat="false" ht="12.75" hidden="false" customHeight="true" outlineLevel="0" collapsed="false">
      <c r="A93" s="7" t="s">
        <v>2022</v>
      </c>
      <c r="B93" s="7" t="s">
        <v>2023</v>
      </c>
      <c r="C93" s="7" t="s">
        <v>2019</v>
      </c>
      <c r="D93" s="5"/>
      <c r="E93" s="5"/>
      <c r="F93" s="5"/>
      <c r="G93" s="5"/>
      <c r="H93" s="5"/>
      <c r="I93" s="5"/>
      <c r="J93" s="5"/>
    </row>
    <row r="94" customFormat="false" ht="12.75" hidden="false" customHeight="true" outlineLevel="0" collapsed="false">
      <c r="A94" s="7" t="s">
        <v>2024</v>
      </c>
      <c r="B94" s="7" t="s">
        <v>2025</v>
      </c>
      <c r="C94" s="7" t="s">
        <v>2019</v>
      </c>
      <c r="D94" s="5"/>
      <c r="E94" s="5"/>
      <c r="F94" s="5"/>
      <c r="G94" s="5"/>
      <c r="H94" s="5"/>
      <c r="I94" s="5"/>
      <c r="J94" s="5"/>
    </row>
    <row r="95" customFormat="false" ht="12.75" hidden="false" customHeight="true" outlineLevel="0" collapsed="false">
      <c r="A95" s="7" t="s">
        <v>2026</v>
      </c>
      <c r="B95" s="7" t="s">
        <v>2027</v>
      </c>
      <c r="C95" s="7" t="s">
        <v>2019</v>
      </c>
      <c r="D95" s="5"/>
      <c r="E95" s="5"/>
      <c r="F95" s="5"/>
      <c r="G95" s="5"/>
      <c r="H95" s="5"/>
      <c r="I95" s="5"/>
      <c r="J95" s="5"/>
    </row>
    <row r="96" customFormat="false" ht="12.75" hidden="false" customHeight="true" outlineLevel="0" collapsed="false">
      <c r="A96" s="7" t="s">
        <v>2028</v>
      </c>
      <c r="B96" s="7" t="s">
        <v>2029</v>
      </c>
      <c r="C96" s="7" t="str">
        <f aca="false">IF(Dashboard!$B$36="YES","Mitigation required (CVaR above τ_TRC).","Headroom = "&amp;TEXT(CANON!$B$106-IF(CANON!$B$71="A",CANON!$B$104,IF(CANON!$B$71="B",CANON!$B$105,"")),"0.000")&amp;" (τ_TRC - CVaR_selected). Monitor assumptions + rerun TRC on change.")</f>
        <v>Headroom = 0.178 (τ_TRC - CVaR_selected). Monitor assumptions + rerun TRC on change.</v>
      </c>
      <c r="D96" s="36" t="n">
        <f aca="false">CANON!B106-IF(CANON!B71="A",CANON!B104,CANON!B105)</f>
        <v>0.1781</v>
      </c>
      <c r="E96" s="5"/>
      <c r="F96" s="5"/>
      <c r="G96" s="5"/>
      <c r="H96" s="5"/>
      <c r="I96" s="5"/>
      <c r="J96" s="5"/>
    </row>
    <row r="97" customFormat="false" ht="26.25" hidden="false" customHeight="true" outlineLevel="0" collapsed="false">
      <c r="A97" s="7" t="s">
        <v>2030</v>
      </c>
      <c r="B97" s="7" t="n">
        <f aca="false">Audit_Flags!$F$2</f>
        <v>0</v>
      </c>
      <c r="C97" s="5"/>
      <c r="D97" s="5"/>
      <c r="E97" s="5"/>
      <c r="F97" s="5"/>
      <c r="G97" s="5"/>
      <c r="H97" s="5"/>
      <c r="I97" s="5"/>
      <c r="J97" s="5"/>
    </row>
    <row r="98" customFormat="false" ht="12.75" hidden="false" customHeight="true" outlineLevel="0" collapsed="false">
      <c r="A98" s="5"/>
      <c r="B98" s="5"/>
      <c r="C98" s="5"/>
      <c r="D98" s="5"/>
      <c r="E98" s="5"/>
      <c r="F98" s="5"/>
      <c r="G98" s="5"/>
      <c r="H98" s="5"/>
      <c r="I98" s="5"/>
      <c r="J98" s="5"/>
    </row>
    <row r="99" customFormat="false" ht="12.75" hidden="false" customHeight="true" outlineLevel="0" collapsed="false">
      <c r="A99" s="23" t="s">
        <v>2031</v>
      </c>
      <c r="B99" s="5"/>
      <c r="C99" s="5"/>
      <c r="D99" s="5"/>
      <c r="E99" s="5"/>
      <c r="F99" s="5"/>
      <c r="G99" s="5"/>
      <c r="H99" s="5"/>
      <c r="I99" s="5"/>
      <c r="J99" s="5"/>
    </row>
    <row r="100" customFormat="false" ht="12.75" hidden="false" customHeight="true" outlineLevel="0" collapsed="false">
      <c r="A100" s="7" t="s">
        <v>2032</v>
      </c>
      <c r="B100" s="5"/>
      <c r="C100" s="5"/>
      <c r="D100" s="5"/>
      <c r="E100" s="5"/>
      <c r="F100" s="5"/>
      <c r="G100" s="5"/>
      <c r="H100" s="5"/>
      <c r="I100" s="5"/>
      <c r="J100" s="5"/>
    </row>
    <row r="101" customFormat="false" ht="48" hidden="false" customHeight="true" outlineLevel="0" collapsed="false">
      <c r="A101" s="7" t="s">
        <v>2033</v>
      </c>
      <c r="B101" s="7" t="s">
        <v>2034</v>
      </c>
      <c r="C101" s="5"/>
      <c r="D101" s="5"/>
      <c r="E101" s="5"/>
      <c r="F101" s="5"/>
      <c r="G101" s="5"/>
      <c r="H101" s="5"/>
      <c r="I101" s="5"/>
      <c r="J101" s="5"/>
    </row>
    <row r="102" customFormat="false" ht="12.75" hidden="false" customHeight="true" outlineLevel="0" collapsed="false">
      <c r="A102" s="7" t="s">
        <v>2035</v>
      </c>
      <c r="B102" s="5"/>
      <c r="C102" s="5"/>
      <c r="D102" s="5"/>
      <c r="E102" s="5"/>
      <c r="F102" s="5"/>
      <c r="G102" s="5"/>
      <c r="H102" s="5"/>
      <c r="I102" s="5"/>
      <c r="J102" s="5"/>
    </row>
    <row r="103" customFormat="false" ht="12.75" hidden="false" customHeight="true" outlineLevel="0" collapsed="false">
      <c r="A103" s="7" t="s">
        <v>1741</v>
      </c>
      <c r="B103" s="5"/>
      <c r="C103" s="5"/>
      <c r="D103" s="5"/>
      <c r="E103" s="5"/>
      <c r="F103" s="5"/>
      <c r="G103" s="5"/>
      <c r="H103" s="5"/>
      <c r="I103" s="5"/>
      <c r="J103" s="5"/>
    </row>
    <row r="104" customFormat="false" ht="12.75" hidden="false" customHeight="true" outlineLevel="0" collapsed="false">
      <c r="A104" s="7" t="s">
        <v>2036</v>
      </c>
      <c r="B104" s="34" t="s">
        <v>1741</v>
      </c>
      <c r="C104" s="5"/>
      <c r="D104" s="5"/>
      <c r="E104" s="5"/>
      <c r="F104" s="5"/>
      <c r="G104" s="5"/>
      <c r="H104" s="5"/>
      <c r="I104" s="5"/>
      <c r="J104" s="5"/>
    </row>
    <row r="105" customFormat="false" ht="12.75" hidden="false" customHeight="true" outlineLevel="0" collapsed="false">
      <c r="A105" s="5"/>
      <c r="B105" s="5"/>
      <c r="C105" s="5"/>
      <c r="D105" s="5"/>
      <c r="E105" s="5"/>
      <c r="F105" s="5"/>
      <c r="G105" s="5"/>
      <c r="H105" s="5"/>
      <c r="I105" s="5"/>
      <c r="J105" s="5"/>
    </row>
    <row r="106" customFormat="false" ht="13.5" hidden="false" customHeight="true" outlineLevel="0" collapsed="false">
      <c r="A106" s="36" t="s">
        <v>2037</v>
      </c>
      <c r="B106" s="5"/>
      <c r="C106" s="5"/>
      <c r="D106" s="5"/>
      <c r="E106" s="5"/>
      <c r="F106" s="5"/>
      <c r="G106" s="5"/>
      <c r="H106" s="5"/>
      <c r="I106" s="5"/>
      <c r="J106" s="5"/>
    </row>
    <row r="107" customFormat="false" ht="30" hidden="false" customHeight="true" outlineLevel="0" collapsed="false">
      <c r="A107" s="36" t="s">
        <v>2038</v>
      </c>
      <c r="B107" s="36" t="s">
        <v>2039</v>
      </c>
      <c r="C107" s="22" t="s">
        <v>2040</v>
      </c>
      <c r="D107" s="5"/>
      <c r="E107" s="5"/>
      <c r="F107" s="5"/>
      <c r="G107" s="5"/>
      <c r="H107" s="5"/>
      <c r="I107" s="5"/>
      <c r="J107" s="5"/>
    </row>
    <row r="108" customFormat="false" ht="30" hidden="false" customHeight="true" outlineLevel="0" collapsed="false">
      <c r="A108" s="36" t="s">
        <v>2041</v>
      </c>
      <c r="B108" s="36" t="s">
        <v>2042</v>
      </c>
      <c r="C108" s="36" t="s">
        <v>2043</v>
      </c>
      <c r="D108" s="5"/>
      <c r="E108" s="5"/>
      <c r="F108" s="5"/>
      <c r="G108" s="5"/>
      <c r="H108" s="5"/>
      <c r="I108" s="5"/>
      <c r="J108" s="5"/>
    </row>
    <row r="109" customFormat="false" ht="15" hidden="false" customHeight="true" outlineLevel="0" collapsed="false">
      <c r="A109" s="36" t="s">
        <v>2044</v>
      </c>
      <c r="B109" s="36" t="s">
        <v>2045</v>
      </c>
      <c r="C109" s="5"/>
      <c r="D109" s="5"/>
      <c r="E109" s="5"/>
      <c r="F109" s="5"/>
      <c r="G109" s="5"/>
      <c r="H109" s="5"/>
      <c r="I109" s="5"/>
      <c r="J109" s="5"/>
    </row>
    <row r="110" customFormat="false" ht="13.5" hidden="false" customHeight="true" outlineLevel="0" collapsed="false">
      <c r="A110" s="5"/>
      <c r="B110" s="5"/>
      <c r="C110" s="5"/>
      <c r="D110" s="5"/>
      <c r="E110" s="5"/>
      <c r="F110" s="5"/>
      <c r="G110" s="5"/>
      <c r="H110" s="5"/>
      <c r="I110" s="5"/>
      <c r="J110" s="5"/>
    </row>
    <row r="111" customFormat="false" ht="13.5" hidden="false" customHeight="true" outlineLevel="0" collapsed="false">
      <c r="A111" s="101" t="s">
        <v>2046</v>
      </c>
      <c r="B111" s="5"/>
      <c r="C111" s="5"/>
      <c r="D111" s="5"/>
      <c r="E111" s="5"/>
      <c r="F111" s="5"/>
      <c r="G111" s="5"/>
      <c r="H111" s="5"/>
      <c r="I111" s="5"/>
      <c r="J111" s="5"/>
    </row>
    <row r="112" customFormat="false" ht="13.5" hidden="false" customHeight="true" outlineLevel="0" collapsed="false">
      <c r="A112" s="102" t="s">
        <v>2047</v>
      </c>
      <c r="B112" s="102" t="str">
        <f aca="false">CANON!B133</f>
        <v>FULL</v>
      </c>
      <c r="C112" s="103" t="s">
        <v>2048</v>
      </c>
      <c r="D112" s="5"/>
      <c r="E112" s="5"/>
      <c r="F112" s="5"/>
      <c r="G112" s="5"/>
      <c r="H112" s="5"/>
      <c r="I112" s="5"/>
      <c r="J112" s="5"/>
    </row>
    <row r="113" customFormat="false" ht="13.5" hidden="false" customHeight="true" outlineLevel="0" collapsed="false">
      <c r="A113" s="102" t="s">
        <v>2049</v>
      </c>
      <c r="B113" s="102" t="str">
        <f aca="false">CANON!B134</f>
        <v>U1,U2,U3,U4,U5,U6,U7</v>
      </c>
      <c r="C113" s="104"/>
      <c r="D113" s="5"/>
      <c r="E113" s="5"/>
      <c r="F113" s="5"/>
      <c r="G113" s="5"/>
      <c r="H113" s="5"/>
      <c r="I113" s="5"/>
      <c r="J113" s="5"/>
    </row>
    <row r="114" customFormat="false" ht="13.5" hidden="false" customHeight="true" outlineLevel="0" collapsed="false">
      <c r="A114" s="102" t="s">
        <v>2050</v>
      </c>
      <c r="B114" s="102" t="str">
        <f aca="false">CANON!B135</f>
        <v>NONE</v>
      </c>
      <c r="C114" s="104"/>
      <c r="D114" s="5"/>
      <c r="E114" s="5"/>
      <c r="F114" s="5"/>
      <c r="G114" s="5"/>
      <c r="H114" s="5"/>
      <c r="I114" s="5"/>
      <c r="J114" s="5"/>
    </row>
    <row r="115" customFormat="false" ht="13.5" hidden="false" customHeight="true" outlineLevel="0" collapsed="false">
      <c r="A115" s="102" t="s">
        <v>2051</v>
      </c>
      <c r="B115" s="102" t="s">
        <v>2052</v>
      </c>
      <c r="C115" s="104"/>
      <c r="D115" s="5"/>
      <c r="E115" s="5"/>
      <c r="F115" s="5"/>
      <c r="G115" s="5"/>
      <c r="H115" s="5"/>
      <c r="I115" s="5"/>
      <c r="J115" s="5"/>
    </row>
    <row r="116" customFormat="false" ht="14.25" hidden="false" customHeight="true" outlineLevel="0" collapsed="false">
      <c r="A116" s="102" t="s">
        <v>2053</v>
      </c>
      <c r="B116" s="102" t="s">
        <v>2054</v>
      </c>
      <c r="C116" s="104"/>
      <c r="D116" s="5"/>
      <c r="E116" s="5"/>
      <c r="F116" s="5"/>
      <c r="G116" s="5"/>
      <c r="H116" s="5"/>
      <c r="I116" s="5"/>
      <c r="J116" s="5"/>
    </row>
    <row r="117" customFormat="false" ht="13.5" hidden="false" customHeight="true" outlineLevel="0" collapsed="false">
      <c r="A117" s="102" t="s">
        <v>2055</v>
      </c>
      <c r="B117" s="102" t="s">
        <v>2056</v>
      </c>
      <c r="C117" s="104"/>
      <c r="D117" s="5"/>
      <c r="E117" s="5"/>
      <c r="F117" s="5"/>
      <c r="G117" s="5"/>
      <c r="H117" s="5"/>
      <c r="I117" s="5"/>
      <c r="J117" s="5"/>
    </row>
    <row r="118" customFormat="false" ht="13.5" hidden="false" customHeight="true" outlineLevel="0" collapsed="false">
      <c r="A118" s="5"/>
      <c r="B118" s="5"/>
      <c r="C118" s="5"/>
      <c r="D118" s="5"/>
      <c r="E118" s="5"/>
      <c r="F118" s="5"/>
      <c r="G118" s="5"/>
      <c r="H118" s="5"/>
      <c r="I118" s="5"/>
      <c r="J118" s="5"/>
    </row>
    <row r="119" customFormat="false" ht="14.25" hidden="false" customHeight="true" outlineLevel="0" collapsed="false">
      <c r="A119" s="105" t="s">
        <v>2057</v>
      </c>
      <c r="B119" s="5"/>
      <c r="C119" s="5"/>
      <c r="D119" s="5"/>
      <c r="E119" s="5"/>
      <c r="F119" s="5"/>
      <c r="G119" s="5"/>
      <c r="H119" s="5"/>
      <c r="I119" s="5"/>
      <c r="J119" s="5"/>
    </row>
    <row r="120" customFormat="false" ht="15" hidden="false" customHeight="true" outlineLevel="0" collapsed="false">
      <c r="A120" s="103" t="s">
        <v>2058</v>
      </c>
      <c r="B120" s="5"/>
      <c r="C120" s="5"/>
      <c r="D120" s="5"/>
      <c r="E120" s="5"/>
      <c r="F120" s="5"/>
      <c r="G120" s="5"/>
      <c r="H120" s="5"/>
      <c r="I120" s="5"/>
      <c r="J120" s="5"/>
    </row>
    <row r="121" customFormat="false" ht="13.5" hidden="false" customHeight="true" outlineLevel="0" collapsed="false">
      <c r="A121" s="5"/>
      <c r="B121" s="5"/>
      <c r="C121" s="5"/>
      <c r="D121" s="5"/>
      <c r="E121" s="5"/>
      <c r="F121" s="5"/>
      <c r="G121" s="5"/>
      <c r="H121" s="5"/>
      <c r="I121" s="5"/>
      <c r="J121" s="5"/>
    </row>
    <row r="122" customFormat="false" ht="13.5" hidden="false" customHeight="true" outlineLevel="0" collapsed="false">
      <c r="A122" s="101" t="s">
        <v>2059</v>
      </c>
      <c r="B122" s="5"/>
      <c r="C122" s="5"/>
      <c r="D122" s="5"/>
      <c r="E122" s="5"/>
      <c r="F122" s="5"/>
      <c r="G122" s="5"/>
      <c r="H122" s="5"/>
      <c r="I122" s="5"/>
      <c r="J122" s="5"/>
    </row>
    <row r="123" customFormat="false" ht="14.25" hidden="false" customHeight="true" outlineLevel="0" collapsed="false">
      <c r="A123" s="103" t="s">
        <v>2060</v>
      </c>
      <c r="B123" s="36" t="s">
        <v>2060</v>
      </c>
      <c r="C123" s="5"/>
      <c r="D123" s="5"/>
      <c r="E123" s="5"/>
      <c r="F123" s="5"/>
      <c r="G123" s="5"/>
      <c r="H123" s="5"/>
      <c r="I123" s="5"/>
      <c r="J123" s="5"/>
    </row>
    <row r="124" customFormat="false" ht="13.5" hidden="false" customHeight="true" outlineLevel="0" collapsed="false">
      <c r="A124" s="103" t="s">
        <v>2061</v>
      </c>
      <c r="B124" s="5"/>
      <c r="C124" s="5"/>
      <c r="D124" s="5"/>
      <c r="E124" s="5"/>
      <c r="F124" s="5"/>
      <c r="G124" s="5"/>
      <c r="H124" s="5"/>
      <c r="I124" s="5"/>
      <c r="J124" s="5"/>
    </row>
    <row r="125" customFormat="false" ht="13.5" hidden="false" customHeight="true" outlineLevel="0" collapsed="false">
      <c r="A125" s="5"/>
      <c r="B125" s="5"/>
      <c r="C125" s="5"/>
      <c r="D125" s="5"/>
      <c r="E125" s="5"/>
      <c r="F125" s="5"/>
      <c r="G125" s="5"/>
      <c r="H125" s="5"/>
      <c r="I125" s="5"/>
      <c r="J125" s="5"/>
    </row>
    <row r="126" customFormat="false" ht="13.5" hidden="false" customHeight="true" outlineLevel="0" collapsed="false">
      <c r="A126" s="106" t="s">
        <v>2062</v>
      </c>
      <c r="B126" s="106" t="s">
        <v>2063</v>
      </c>
      <c r="C126" s="106" t="s">
        <v>2064</v>
      </c>
      <c r="D126" s="106" t="s">
        <v>2065</v>
      </c>
      <c r="E126" s="106" t="s">
        <v>2066</v>
      </c>
      <c r="F126" s="106" t="s">
        <v>2067</v>
      </c>
      <c r="G126" s="106" t="s">
        <v>2068</v>
      </c>
      <c r="H126" s="106" t="s">
        <v>2069</v>
      </c>
      <c r="I126" s="5"/>
      <c r="J126" s="5"/>
    </row>
    <row r="127" customFormat="false" ht="13.5" hidden="false" customHeight="true" outlineLevel="0" collapsed="false">
      <c r="A127" s="102" t="s">
        <v>2070</v>
      </c>
      <c r="B127" s="102" t="s">
        <v>2071</v>
      </c>
      <c r="C127" s="102" t="s">
        <v>2072</v>
      </c>
      <c r="D127" s="102" t="s">
        <v>2073</v>
      </c>
      <c r="E127" s="102" t="s">
        <v>2074</v>
      </c>
      <c r="F127" s="102" t="s">
        <v>2075</v>
      </c>
      <c r="G127" s="102" t="s">
        <v>2076</v>
      </c>
      <c r="H127" s="102" t="s">
        <v>2077</v>
      </c>
      <c r="I127" s="5"/>
      <c r="J127" s="5"/>
    </row>
    <row r="128" customFormat="false" ht="13.5" hidden="false" customHeight="true" outlineLevel="0" collapsed="false">
      <c r="A128" s="102" t="s">
        <v>2078</v>
      </c>
      <c r="B128" s="102" t="s">
        <v>2079</v>
      </c>
      <c r="C128" s="102" t="s">
        <v>2080</v>
      </c>
      <c r="D128" s="102" t="s">
        <v>2081</v>
      </c>
      <c r="E128" s="102" t="s">
        <v>762</v>
      </c>
      <c r="F128" s="102" t="s">
        <v>2082</v>
      </c>
      <c r="G128" s="102" t="s">
        <v>2083</v>
      </c>
      <c r="H128" s="102" t="s">
        <v>2077</v>
      </c>
      <c r="I128" s="5"/>
      <c r="J128" s="5"/>
    </row>
    <row r="129" customFormat="false" ht="13.5" hidden="false" customHeight="true" outlineLevel="0" collapsed="false">
      <c r="A129" s="102" t="s">
        <v>2084</v>
      </c>
      <c r="B129" s="102" t="s">
        <v>2085</v>
      </c>
      <c r="C129" s="102" t="s">
        <v>2086</v>
      </c>
      <c r="D129" s="102" t="s">
        <v>2087</v>
      </c>
      <c r="E129" s="102" t="s">
        <v>763</v>
      </c>
      <c r="F129" s="102" t="s">
        <v>2088</v>
      </c>
      <c r="G129" s="102" t="s">
        <v>2089</v>
      </c>
      <c r="H129" s="102" t="s">
        <v>2077</v>
      </c>
      <c r="I129" s="5"/>
      <c r="J129" s="5"/>
    </row>
    <row r="130" customFormat="false" ht="14.25" hidden="false" customHeight="true" outlineLevel="0" collapsed="false">
      <c r="A130" s="102" t="s">
        <v>2090</v>
      </c>
      <c r="B130" s="102" t="s">
        <v>2091</v>
      </c>
      <c r="C130" s="102" t="s">
        <v>2092</v>
      </c>
      <c r="D130" s="102" t="s">
        <v>2093</v>
      </c>
      <c r="E130" s="102" t="s">
        <v>764</v>
      </c>
      <c r="F130" s="102" t="s">
        <v>2094</v>
      </c>
      <c r="G130" s="102" t="s">
        <v>2095</v>
      </c>
      <c r="H130" s="102" t="s">
        <v>2077</v>
      </c>
      <c r="I130" s="5"/>
      <c r="J130" s="5"/>
    </row>
    <row r="131" customFormat="false" ht="13.5" hidden="false" customHeight="true" outlineLevel="0" collapsed="false">
      <c r="A131" s="102" t="s">
        <v>2096</v>
      </c>
      <c r="B131" s="102" t="s">
        <v>2097</v>
      </c>
      <c r="C131" s="102" t="s">
        <v>2086</v>
      </c>
      <c r="D131" s="102" t="s">
        <v>2098</v>
      </c>
      <c r="E131" s="102" t="s">
        <v>2099</v>
      </c>
      <c r="F131" s="102" t="s">
        <v>2100</v>
      </c>
      <c r="G131" s="102" t="s">
        <v>2101</v>
      </c>
      <c r="H131" s="102" t="s">
        <v>2102</v>
      </c>
      <c r="I131" s="5"/>
      <c r="J131" s="5"/>
    </row>
    <row r="132" customFormat="false" ht="13.5" hidden="false" customHeight="true" outlineLevel="0" collapsed="false">
      <c r="A132" s="5"/>
      <c r="B132" s="5"/>
      <c r="C132" s="5"/>
      <c r="D132" s="5"/>
      <c r="E132" s="5"/>
      <c r="F132" s="5"/>
      <c r="G132" s="5"/>
      <c r="H132" s="5"/>
      <c r="I132" s="5"/>
      <c r="J132" s="5"/>
    </row>
    <row r="133" customFormat="false" ht="14.25" hidden="false" customHeight="true" outlineLevel="0" collapsed="false">
      <c r="A133" s="105" t="s">
        <v>2103</v>
      </c>
      <c r="B133" s="5"/>
      <c r="C133" s="5"/>
      <c r="D133" s="5"/>
      <c r="E133" s="5"/>
      <c r="F133" s="5"/>
      <c r="G133" s="5"/>
      <c r="H133" s="5"/>
      <c r="I133" s="5"/>
      <c r="J133" s="5"/>
    </row>
    <row r="134" customFormat="false" ht="15" hidden="false" customHeight="true" outlineLevel="0" collapsed="false">
      <c r="A134" s="103" t="s">
        <v>2104</v>
      </c>
      <c r="B134" s="5"/>
      <c r="C134" s="5"/>
      <c r="D134" s="5"/>
      <c r="E134" s="5"/>
      <c r="F134" s="5"/>
      <c r="G134" s="5"/>
      <c r="H134" s="5"/>
      <c r="I134" s="5"/>
      <c r="J134" s="5"/>
    </row>
    <row r="135" customFormat="false" ht="13.5" hidden="false" customHeight="true" outlineLevel="0" collapsed="false">
      <c r="A135" s="5"/>
      <c r="B135" s="5"/>
      <c r="C135" s="5"/>
      <c r="D135" s="5"/>
      <c r="E135" s="5"/>
      <c r="F135" s="5"/>
      <c r="G135" s="5"/>
      <c r="H135" s="5"/>
      <c r="I135" s="5"/>
      <c r="J135" s="5"/>
    </row>
    <row r="136" customFormat="false" ht="13.5" hidden="false" customHeight="true" outlineLevel="0" collapsed="false">
      <c r="A136" s="101" t="s">
        <v>2105</v>
      </c>
      <c r="B136" s="5"/>
      <c r="C136" s="5"/>
      <c r="D136" s="5"/>
      <c r="E136" s="5"/>
      <c r="F136" s="5"/>
      <c r="G136" s="5"/>
      <c r="H136" s="5"/>
      <c r="I136" s="5"/>
      <c r="J136" s="5"/>
    </row>
    <row r="137" customFormat="false" ht="13.5" hidden="false" customHeight="true" outlineLevel="0" collapsed="false">
      <c r="A137" s="103" t="s">
        <v>2106</v>
      </c>
      <c r="B137" s="36" t="s">
        <v>2106</v>
      </c>
      <c r="C137" s="5"/>
      <c r="D137" s="5"/>
      <c r="E137" s="5"/>
      <c r="F137" s="5"/>
      <c r="G137" s="5"/>
      <c r="H137" s="5"/>
      <c r="I137" s="5"/>
      <c r="J137" s="5"/>
    </row>
    <row r="138" customFormat="false" ht="13.5" hidden="false" customHeight="true" outlineLevel="0" collapsed="false">
      <c r="A138" s="102" t="s">
        <v>2107</v>
      </c>
      <c r="B138" s="102" t="n">
        <f aca="false">CANON!B130</f>
        <v>1</v>
      </c>
      <c r="C138" s="103" t="s">
        <v>2108</v>
      </c>
      <c r="D138" s="5"/>
      <c r="E138" s="5"/>
      <c r="F138" s="5"/>
      <c r="G138" s="5"/>
      <c r="H138" s="5"/>
      <c r="I138" s="5"/>
      <c r="J138" s="5"/>
    </row>
    <row r="139" customFormat="false" ht="13.5" hidden="false" customHeight="true" outlineLevel="0" collapsed="false">
      <c r="A139" s="102" t="s">
        <v>2109</v>
      </c>
      <c r="B139" s="102" t="str">
        <f aca="false">CANON!B131</f>
        <v>Key stakeholders identified; roles mapped to scopes; coverage documented</v>
      </c>
      <c r="C139" s="104"/>
      <c r="D139" s="5"/>
      <c r="E139" s="5"/>
      <c r="F139" s="5"/>
      <c r="G139" s="5"/>
      <c r="H139" s="5"/>
      <c r="I139" s="5"/>
      <c r="J139" s="5"/>
    </row>
    <row r="140" customFormat="false" ht="13.5" hidden="false" customHeight="true" outlineLevel="0" collapsed="false">
      <c r="A140" s="102" t="s">
        <v>2110</v>
      </c>
      <c r="B140" s="102" t="str">
        <f aca="false">CANON!B132</f>
        <v>Expand to SCI-2: structured discovery protocol with evidence refs</v>
      </c>
      <c r="C140" s="103" t="s">
        <v>2111</v>
      </c>
      <c r="D140" s="5"/>
      <c r="E140" s="5"/>
      <c r="F140" s="5"/>
      <c r="G140" s="5"/>
      <c r="H140" s="5"/>
      <c r="I140" s="5"/>
      <c r="J140" s="5"/>
    </row>
    <row r="141" customFormat="false" ht="14.25" hidden="false" customHeight="true" outlineLevel="0" collapsed="false">
      <c r="A141" s="102" t="s">
        <v>2112</v>
      </c>
      <c r="B141" s="102" t="str">
        <f aca="false">IF(CANON!$B$10=2,"SCI-1",IF(CANON!$B$10=3,"SCI-2","N/A"))</f>
        <v>SCI-1</v>
      </c>
      <c r="C141" s="104"/>
      <c r="D141" s="5"/>
      <c r="E141" s="5"/>
      <c r="F141" s="5"/>
      <c r="G141" s="5"/>
      <c r="H141" s="5"/>
      <c r="I141" s="5"/>
      <c r="J141" s="5"/>
    </row>
    <row r="142" customFormat="false" ht="15" hidden="false" customHeight="true" outlineLevel="0" collapsed="false">
      <c r="A142" s="102" t="s">
        <v>2113</v>
      </c>
      <c r="B142" s="102" t="str">
        <f aca="false">IF(CANON!B130&gt;=IF(CANON!$B$10=2,1,IF(CANON!$B$10=3,2,0)),"YES","NO")</f>
        <v>YES</v>
      </c>
      <c r="C142" s="104"/>
      <c r="D142" s="5"/>
      <c r="E142" s="5"/>
      <c r="F142" s="5"/>
      <c r="G142" s="5"/>
      <c r="H142" s="5"/>
      <c r="I142" s="5"/>
      <c r="J142" s="5"/>
    </row>
    <row r="143" customFormat="false" ht="13.5" hidden="false" customHeight="true" outlineLevel="0" collapsed="false">
      <c r="A143" s="5"/>
      <c r="B143" s="5"/>
      <c r="C143" s="5"/>
      <c r="D143" s="5"/>
      <c r="E143" s="5"/>
      <c r="F143" s="5"/>
      <c r="G143" s="5"/>
      <c r="H143" s="5"/>
      <c r="I143" s="5"/>
      <c r="J143" s="5"/>
    </row>
    <row r="144" customFormat="false" ht="13.5" hidden="false" customHeight="true" outlineLevel="0" collapsed="false">
      <c r="A144" s="101" t="s">
        <v>2114</v>
      </c>
      <c r="B144" s="5"/>
      <c r="C144" s="5"/>
      <c r="D144" s="5"/>
      <c r="E144" s="5"/>
      <c r="F144" s="5"/>
      <c r="G144" s="5"/>
      <c r="H144" s="5"/>
      <c r="I144" s="5"/>
      <c r="J144" s="5"/>
    </row>
    <row r="145" customFormat="false" ht="13.5" hidden="false" customHeight="true" outlineLevel="0" collapsed="false">
      <c r="A145" s="102" t="s">
        <v>2115</v>
      </c>
      <c r="B145" s="5"/>
      <c r="C145" s="5"/>
      <c r="D145" s="5"/>
      <c r="E145" s="5"/>
      <c r="F145" s="5"/>
      <c r="G145" s="5"/>
      <c r="H145" s="5"/>
      <c r="I145" s="5"/>
      <c r="J145" s="5"/>
    </row>
    <row r="146" customFormat="false" ht="13.5" hidden="false" customHeight="true" outlineLevel="0" collapsed="false">
      <c r="A146" s="102" t="s">
        <v>2116</v>
      </c>
      <c r="B146" s="5"/>
      <c r="C146" s="5"/>
      <c r="D146" s="5"/>
      <c r="E146" s="5"/>
      <c r="F146" s="5"/>
      <c r="G146" s="5"/>
      <c r="H146" s="5"/>
      <c r="I146" s="5"/>
      <c r="J146" s="5"/>
    </row>
    <row r="147" customFormat="false" ht="13.5" hidden="false" customHeight="true" outlineLevel="0" collapsed="false">
      <c r="A147" s="102" t="s">
        <v>2117</v>
      </c>
      <c r="B147" s="5"/>
      <c r="C147" s="5"/>
      <c r="D147" s="5"/>
      <c r="E147" s="5"/>
      <c r="F147" s="5"/>
      <c r="G147" s="5"/>
      <c r="H147" s="5"/>
      <c r="I147" s="5"/>
      <c r="J147" s="5"/>
    </row>
    <row r="148" customFormat="false" ht="14.25" hidden="false" customHeight="true" outlineLevel="0" collapsed="false">
      <c r="A148" s="102" t="s">
        <v>2118</v>
      </c>
      <c r="B148" s="5"/>
      <c r="C148" s="5"/>
      <c r="D148" s="5"/>
      <c r="E148" s="5"/>
      <c r="F148" s="5"/>
      <c r="G148" s="5"/>
      <c r="H148" s="5"/>
      <c r="I148" s="5"/>
      <c r="J148" s="5"/>
    </row>
    <row r="149" customFormat="false" ht="14.25" hidden="false" customHeight="true" outlineLevel="0" collapsed="false">
      <c r="A149" s="107" t="s">
        <v>2119</v>
      </c>
      <c r="B149" s="5"/>
      <c r="C149" s="5"/>
      <c r="D149" s="5"/>
      <c r="E149" s="5"/>
      <c r="F149" s="5"/>
      <c r="G149" s="5"/>
      <c r="H149" s="5"/>
      <c r="I149" s="5"/>
      <c r="J149" s="5"/>
    </row>
    <row r="150" customFormat="false" ht="12.75" hidden="false" customHeight="false" outlineLevel="0" collapsed="false">
      <c r="A150" s="5"/>
      <c r="B150" s="5"/>
      <c r="C150" s="5"/>
      <c r="D150" s="5"/>
      <c r="E150" s="5"/>
      <c r="F150" s="5"/>
      <c r="G150" s="5"/>
      <c r="H150" s="5"/>
      <c r="I150" s="5"/>
      <c r="J150" s="5"/>
    </row>
    <row r="151" customFormat="false" ht="15" hidden="false" customHeight="true" outlineLevel="0" collapsed="false">
      <c r="A151" s="108" t="s">
        <v>2120</v>
      </c>
      <c r="B151" s="108"/>
      <c r="C151" s="5"/>
      <c r="D151" s="5"/>
      <c r="E151" s="5"/>
      <c r="F151" s="5"/>
      <c r="G151" s="5"/>
      <c r="H151" s="5"/>
      <c r="I151" s="5"/>
      <c r="J151" s="5"/>
    </row>
    <row r="152" customFormat="false" ht="31.5" hidden="false" customHeight="true" outlineLevel="0" collapsed="false">
      <c r="A152" s="109" t="s">
        <v>2121</v>
      </c>
      <c r="B152" s="109" t="s">
        <v>2122</v>
      </c>
      <c r="C152" s="5"/>
      <c r="D152" s="5"/>
      <c r="E152" s="5"/>
      <c r="F152" s="5"/>
      <c r="G152" s="5"/>
      <c r="H152" s="5"/>
      <c r="I152" s="5"/>
      <c r="J152" s="5"/>
    </row>
    <row r="153" customFormat="false" ht="31.5" hidden="false" customHeight="true" outlineLevel="0" collapsed="false">
      <c r="A153" s="109" t="s">
        <v>2123</v>
      </c>
      <c r="B153" s="109" t="s">
        <v>2124</v>
      </c>
      <c r="C153" s="5"/>
      <c r="D153" s="5"/>
      <c r="E153" s="5"/>
      <c r="F153" s="5"/>
      <c r="G153" s="5"/>
      <c r="H153" s="5"/>
      <c r="I153" s="5"/>
      <c r="J153" s="5"/>
    </row>
    <row r="154" customFormat="false" ht="31.5" hidden="false" customHeight="true" outlineLevel="0" collapsed="false">
      <c r="A154" s="109" t="s">
        <v>2125</v>
      </c>
      <c r="B154" s="109" t="str">
        <f aca="false">PLSS_Local_Scope!B27</f>
        <v>Decision owner, household, community, organization, polity, and biosphere pathways declared through the worked-run stakeholder set for this remote-work policy exemplar.</v>
      </c>
      <c r="C154" s="5"/>
      <c r="D154" s="5"/>
      <c r="E154" s="5"/>
      <c r="F154" s="5"/>
      <c r="G154" s="5"/>
      <c r="H154" s="5"/>
      <c r="I154" s="5"/>
      <c r="J154" s="5"/>
    </row>
    <row r="155" customFormat="false" ht="31.5" hidden="false" customHeight="true" outlineLevel="0" collapsed="false">
      <c r="A155" s="109" t="s">
        <v>2126</v>
      </c>
      <c r="B155" s="109" t="str">
        <f aca="false">PLSS_Local_Scope!B28</f>
        <v>PCC.PLSS.Operator: OTHER_DECLARED: DIRECT_Q_NORMALIZATION_V1. q_u values are supplied directly from declared prominence reasoning in this worked-run exemplar; geometric-mean subcomponent construction is not exercised. Residual allocation is performed by direct normalization of q_u, with constitutional floors preserved.</v>
      </c>
      <c r="C155" s="5"/>
      <c r="D155" s="5"/>
      <c r="E155" s="5"/>
      <c r="F155" s="5"/>
      <c r="G155" s="5"/>
      <c r="H155" s="5"/>
      <c r="I155" s="5"/>
      <c r="J155" s="5"/>
    </row>
    <row r="156" customFormat="false" ht="31.5" hidden="false" customHeight="true" outlineLevel="0" collapsed="false">
      <c r="A156" s="109" t="s">
        <v>2127</v>
      </c>
      <c r="B156" s="109" t="str">
        <f aca="false">PLSS_Local_Scope!B29</f>
        <v>Declared scope posture is surfaced through the Prominent/Guardrail classifications in F12:F18.</v>
      </c>
      <c r="C156" s="5"/>
      <c r="D156" s="5"/>
      <c r="E156" s="5"/>
      <c r="F156" s="5"/>
      <c r="G156" s="5"/>
      <c r="H156" s="5"/>
      <c r="I156" s="5"/>
      <c r="J156" s="5"/>
    </row>
    <row r="157" customFormat="false" ht="45.75" hidden="false" customHeight="true" outlineLevel="0" collapsed="false">
      <c r="A157" s="109" t="s">
        <v>2128</v>
      </c>
      <c r="B157" s="109" t="str">
        <f aca="false">PLSS_Local_Scope!B30</f>
        <v>No active ET trigger requiring a broader-scope rerun was identified in this worked-run exemplar; revisit if hidden externalities, rights expansion, catastrophe relevance, or lock-in becomes plausible.</v>
      </c>
      <c r="C157" s="5"/>
      <c r="D157" s="5"/>
      <c r="E157" s="5"/>
      <c r="F157" s="5"/>
      <c r="G157" s="5"/>
      <c r="H157" s="5"/>
      <c r="I157" s="5"/>
      <c r="J157" s="5"/>
    </row>
    <row r="158" customFormat="false" ht="31.5" hidden="false" customHeight="true" outlineLevel="0" collapsed="false">
      <c r="A158" s="109" t="s">
        <v>2129</v>
      </c>
      <c r="B158" s="109" t="str">
        <f aca="false">PLSS_Local_Scope!B31</f>
        <v>If SUM(q_u)=0, the workbook uses the uniform residual fallback (1/7 per scope) exactly as encoded in D12:D18.</v>
      </c>
      <c r="C158" s="5"/>
      <c r="D158" s="5"/>
      <c r="E158" s="5"/>
      <c r="F158" s="5"/>
      <c r="G158" s="5"/>
      <c r="H158" s="5"/>
      <c r="I158" s="5"/>
      <c r="J158" s="5"/>
    </row>
    <row r="159" customFormat="false" ht="45.75" hidden="false" customHeight="true" outlineLevel="0" collapsed="false">
      <c r="A159" s="109" t="s">
        <v>2130</v>
      </c>
      <c r="B159" s="109" t="s">
        <v>2131</v>
      </c>
      <c r="C159" s="5"/>
      <c r="D159" s="5"/>
      <c r="E159" s="5"/>
      <c r="F159" s="5"/>
      <c r="G159" s="5"/>
      <c r="H159" s="5"/>
      <c r="I159" s="5"/>
      <c r="J159" s="5"/>
    </row>
    <row r="160" customFormat="false" ht="12.75" hidden="false" customHeight="false" outlineLevel="0" collapsed="false">
      <c r="A160" s="5"/>
      <c r="B160" s="5"/>
      <c r="C160" s="5"/>
      <c r="D160" s="5"/>
      <c r="E160" s="5"/>
      <c r="F160" s="5"/>
      <c r="G160" s="5"/>
      <c r="H160" s="5"/>
      <c r="I160" s="5"/>
      <c r="J160" s="5"/>
    </row>
    <row r="161" customFormat="false" ht="24" hidden="false" customHeight="true" outlineLevel="0" collapsed="false">
      <c r="A161" s="110" t="s">
        <v>2132</v>
      </c>
      <c r="B161" s="5"/>
      <c r="C161" s="5"/>
      <c r="D161" s="5"/>
      <c r="E161" s="5"/>
      <c r="F161" s="5"/>
      <c r="G161" s="5"/>
      <c r="H161" s="5"/>
      <c r="I161" s="5"/>
      <c r="J161" s="5"/>
    </row>
    <row r="162" customFormat="false" ht="21.75" hidden="false" customHeight="true" outlineLevel="0" collapsed="false">
      <c r="A162" s="109" t="s">
        <v>2133</v>
      </c>
      <c r="B162" s="109" t="s">
        <v>2134</v>
      </c>
      <c r="C162" s="22" t="s">
        <v>2135</v>
      </c>
      <c r="D162" s="5"/>
      <c r="E162" s="5"/>
      <c r="F162" s="5"/>
      <c r="G162" s="5"/>
      <c r="H162" s="5"/>
      <c r="I162" s="5"/>
      <c r="J162" s="5"/>
    </row>
    <row r="163" customFormat="false" ht="21.75" hidden="false" customHeight="true" outlineLevel="0" collapsed="false">
      <c r="A163" s="109" t="s">
        <v>2136</v>
      </c>
      <c r="B163" s="109" t="s">
        <v>2137</v>
      </c>
      <c r="C163" s="5"/>
      <c r="D163" s="5"/>
      <c r="E163" s="5"/>
      <c r="F163" s="5"/>
      <c r="G163" s="5"/>
      <c r="H163" s="5"/>
      <c r="I163" s="5"/>
      <c r="J163" s="5"/>
    </row>
    <row r="164" customFormat="false" ht="21.75" hidden="false" customHeight="true" outlineLevel="0" collapsed="false">
      <c r="A164" s="109" t="s">
        <v>2138</v>
      </c>
      <c r="B164" s="109" t="s">
        <v>2139</v>
      </c>
      <c r="C164" s="22" t="s">
        <v>2140</v>
      </c>
      <c r="D164" s="5"/>
      <c r="E164" s="5"/>
      <c r="F164" s="5"/>
      <c r="G164" s="5"/>
      <c r="H164" s="5"/>
      <c r="I164" s="5"/>
      <c r="J164" s="5"/>
    </row>
    <row r="165" customFormat="false" ht="21.75" hidden="false" customHeight="true" outlineLevel="0" collapsed="false">
      <c r="A165" s="109" t="s">
        <v>2141</v>
      </c>
      <c r="B165" s="109" t="str">
        <f aca="false">IF(Config!B17="PLSS_LOCAL","PLSS_NEAR_FIELD_DECLARATION","NA")</f>
        <v>PLSS_NEAR_FIELD_DECLARATION</v>
      </c>
      <c r="C165" s="22" t="s">
        <v>2142</v>
      </c>
      <c r="D165" s="5"/>
      <c r="E165" s="5"/>
      <c r="F165" s="5"/>
      <c r="G165" s="5"/>
      <c r="H165" s="5"/>
      <c r="I165" s="5"/>
      <c r="J165" s="5"/>
    </row>
    <row r="166" customFormat="false" ht="21.75" hidden="false" customHeight="true" outlineLevel="0" collapsed="false">
      <c r="A166" s="109" t="s">
        <v>2143</v>
      </c>
      <c r="B166" s="109" t="s">
        <v>2144</v>
      </c>
      <c r="C166" s="22" t="s">
        <v>2145</v>
      </c>
      <c r="D166" s="5"/>
      <c r="E166" s="5"/>
      <c r="F166" s="5"/>
      <c r="G166" s="5"/>
      <c r="H166" s="5"/>
      <c r="I166" s="5"/>
      <c r="J166" s="5"/>
    </row>
    <row r="167" customFormat="false" ht="21.75" hidden="false" customHeight="true" outlineLevel="0" collapsed="false">
      <c r="A167" s="109" t="s">
        <v>2146</v>
      </c>
      <c r="B167" s="109" t="s">
        <v>2147</v>
      </c>
      <c r="C167" s="22" t="s">
        <v>2148</v>
      </c>
      <c r="D167" s="5"/>
      <c r="E167" s="5"/>
      <c r="F167" s="5"/>
      <c r="G167" s="5"/>
      <c r="H167" s="5"/>
      <c r="I167" s="5"/>
      <c r="J167" s="5"/>
    </row>
    <row r="168" customFormat="false" ht="21.75" hidden="false" customHeight="true" outlineLevel="0" collapsed="false">
      <c r="A168" s="109" t="s">
        <v>2149</v>
      </c>
      <c r="B168" s="109" t="str">
        <f aca="false">IF(COUNTIFS(Impact_Input!A7:A200,"&lt;&gt;",Impact_Input!K7:K200,"&lt;&gt;1")=0,"All logged instances use e_k = 1.00","Non-default e_k present; disclose reason code + sensitivity")</f>
        <v>All logged instances use e_k = 1.00</v>
      </c>
      <c r="C168" s="5"/>
      <c r="D168" s="5"/>
      <c r="E168" s="5"/>
      <c r="F168" s="5"/>
      <c r="G168" s="5"/>
      <c r="H168" s="5"/>
      <c r="I168" s="5"/>
      <c r="J168" s="5"/>
    </row>
    <row r="169" customFormat="false" ht="27.75" hidden="false" customHeight="true" outlineLevel="0" collapsed="false">
      <c r="A169" s="109" t="s">
        <v>2150</v>
      </c>
      <c r="B169" s="109" t="s">
        <v>2151</v>
      </c>
      <c r="C169" s="22" t="s">
        <v>2152</v>
      </c>
      <c r="D169" s="5"/>
      <c r="E169" s="5"/>
      <c r="F169" s="5"/>
      <c r="G169" s="5"/>
      <c r="H169" s="5"/>
      <c r="I169" s="5"/>
      <c r="J169" s="5"/>
    </row>
    <row r="170" customFormat="false" ht="27.75" hidden="false" customHeight="true" outlineLevel="0" collapsed="false">
      <c r="A170" s="109" t="s">
        <v>2153</v>
      </c>
      <c r="B170" s="109" t="s">
        <v>2154</v>
      </c>
      <c r="C170" s="22" t="s">
        <v>2155</v>
      </c>
      <c r="D170" s="5"/>
      <c r="E170" s="5"/>
      <c r="F170" s="5"/>
      <c r="G170" s="5"/>
      <c r="H170" s="5"/>
      <c r="I170" s="5"/>
      <c r="J170" s="5"/>
    </row>
    <row r="171" customFormat="false" ht="57" hidden="false" customHeight="true" outlineLevel="0" collapsed="false">
      <c r="A171" s="109" t="s">
        <v>2156</v>
      </c>
      <c r="B171" s="109" t="s">
        <v>2157</v>
      </c>
      <c r="C171" s="5"/>
      <c r="D171" s="5"/>
      <c r="E171" s="5"/>
      <c r="F171" s="5"/>
      <c r="G171" s="5"/>
      <c r="H171" s="5"/>
      <c r="I171" s="5"/>
      <c r="J171" s="5"/>
    </row>
    <row r="172" customFormat="false" ht="12.75" hidden="false" customHeight="true" outlineLevel="0" collapsed="false">
      <c r="A172" s="22" t="s">
        <v>2158</v>
      </c>
      <c r="B172" s="5"/>
      <c r="C172" s="5"/>
      <c r="D172" s="5"/>
      <c r="E172" s="5"/>
      <c r="F172" s="5"/>
      <c r="G172" s="5"/>
      <c r="H172" s="5"/>
      <c r="I172" s="5"/>
      <c r="J172" s="5"/>
    </row>
    <row r="173" customFormat="false" ht="12.75" hidden="false" customHeight="true" outlineLevel="0" collapsed="false">
      <c r="A173" s="22" t="s">
        <v>2159</v>
      </c>
      <c r="B173" s="22" t="s">
        <v>15</v>
      </c>
      <c r="C173" s="5"/>
      <c r="D173" s="5"/>
      <c r="E173" s="5"/>
      <c r="F173" s="5"/>
      <c r="G173" s="5"/>
      <c r="H173" s="5"/>
      <c r="I173" s="5"/>
      <c r="J173" s="5"/>
    </row>
    <row r="174" customFormat="false" ht="12.75" hidden="false" customHeight="true" outlineLevel="0" collapsed="false">
      <c r="A174" s="22" t="s">
        <v>2160</v>
      </c>
      <c r="B174" s="22" t="s">
        <v>2161</v>
      </c>
      <c r="C174" s="5"/>
      <c r="D174" s="5"/>
      <c r="E174" s="5"/>
      <c r="F174" s="5"/>
      <c r="G174" s="5"/>
      <c r="H174" s="5"/>
      <c r="I174" s="5"/>
      <c r="J174" s="5"/>
    </row>
    <row r="175" customFormat="false" ht="12.75" hidden="false" customHeight="true" outlineLevel="0" collapsed="false">
      <c r="A175" s="22" t="s">
        <v>2162</v>
      </c>
      <c r="B175" s="22" t="s">
        <v>2163</v>
      </c>
      <c r="C175" s="5"/>
      <c r="D175" s="5"/>
      <c r="E175" s="5"/>
      <c r="F175" s="5"/>
      <c r="G175" s="5"/>
      <c r="H175" s="5"/>
      <c r="I175" s="5"/>
      <c r="J175" s="5"/>
    </row>
    <row r="176" customFormat="false" ht="12.75" hidden="false" customHeight="true" outlineLevel="0" collapsed="false">
      <c r="A176" s="22" t="s">
        <v>2164</v>
      </c>
      <c r="B176" s="22" t="s">
        <v>2165</v>
      </c>
      <c r="C176" s="5"/>
      <c r="D176" s="5"/>
      <c r="E176" s="5"/>
      <c r="F176" s="5"/>
      <c r="G176" s="5"/>
      <c r="H176" s="5"/>
      <c r="I176" s="5"/>
      <c r="J176" s="5"/>
    </row>
    <row r="177" customFormat="false" ht="12.75" hidden="false" customHeight="true" outlineLevel="0" collapsed="false">
      <c r="A177" s="22" t="s">
        <v>2166</v>
      </c>
      <c r="B177" s="22" t="s">
        <v>2167</v>
      </c>
      <c r="C177" s="5"/>
      <c r="D177" s="5"/>
      <c r="E177" s="5"/>
      <c r="F177" s="5"/>
      <c r="G177" s="5"/>
      <c r="H177" s="5"/>
      <c r="I177" s="5"/>
      <c r="J177" s="5"/>
    </row>
    <row r="178" customFormat="false" ht="12.75" hidden="false" customHeight="true" outlineLevel="0" collapsed="false">
      <c r="A178" s="22" t="s">
        <v>2168</v>
      </c>
      <c r="B178" s="22" t="s">
        <v>2169</v>
      </c>
      <c r="C178" s="5"/>
      <c r="D178" s="5"/>
      <c r="E178" s="5"/>
      <c r="F178" s="5"/>
      <c r="G178" s="5"/>
      <c r="H178" s="5"/>
      <c r="I178" s="5"/>
      <c r="J178" s="5"/>
    </row>
    <row r="179" customFormat="false" ht="12.75" hidden="false" customHeight="true" outlineLevel="0" collapsed="false">
      <c r="A179" s="22" t="s">
        <v>2170</v>
      </c>
      <c r="B179" s="22" t="s">
        <v>2171</v>
      </c>
      <c r="C179" s="5"/>
      <c r="D179" s="5"/>
      <c r="E179" s="5"/>
      <c r="F179" s="5"/>
      <c r="G179" s="5"/>
      <c r="H179" s="5"/>
      <c r="I179" s="5"/>
      <c r="J179" s="5"/>
    </row>
    <row r="180" customFormat="false" ht="12.75" hidden="false" customHeight="true" outlineLevel="0" collapsed="false">
      <c r="A180" s="22" t="s">
        <v>2172</v>
      </c>
      <c r="B180" s="22" t="s">
        <v>2173</v>
      </c>
      <c r="C180" s="5"/>
      <c r="D180" s="5"/>
      <c r="E180" s="5"/>
      <c r="F180" s="5"/>
      <c r="G180" s="5"/>
      <c r="H180" s="5"/>
      <c r="I180" s="5"/>
      <c r="J180" s="5"/>
    </row>
    <row r="181" customFormat="false" ht="12.75" hidden="false" customHeight="true" outlineLevel="0" collapsed="false">
      <c r="A181" s="22" t="s">
        <v>2174</v>
      </c>
      <c r="B181" s="22" t="s">
        <v>2175</v>
      </c>
      <c r="C181" s="5"/>
      <c r="D181" s="5"/>
      <c r="E181" s="5"/>
      <c r="F181" s="5"/>
      <c r="G181" s="5"/>
      <c r="H181" s="5"/>
      <c r="I181" s="5"/>
      <c r="J181" s="5"/>
    </row>
    <row r="182" customFormat="false" ht="12.75" hidden="false" customHeight="true" outlineLevel="0" collapsed="false">
      <c r="A182" s="22" t="s">
        <v>2176</v>
      </c>
      <c r="B182" s="22" t="s">
        <v>2177</v>
      </c>
      <c r="C182" s="5"/>
      <c r="D182" s="5"/>
      <c r="E182" s="5"/>
      <c r="F182" s="5"/>
      <c r="G182" s="5"/>
      <c r="H182" s="5"/>
      <c r="I182" s="5"/>
      <c r="J182" s="5"/>
    </row>
    <row r="183" customFormat="false" ht="12.75" hidden="false" customHeight="true" outlineLevel="0" collapsed="false">
      <c r="A183" s="22" t="s">
        <v>2178</v>
      </c>
      <c r="B183" s="22" t="s">
        <v>2179</v>
      </c>
      <c r="C183" s="5"/>
      <c r="D183" s="5"/>
      <c r="E183" s="5"/>
      <c r="F183" s="5"/>
      <c r="G183" s="5"/>
      <c r="H183" s="5"/>
      <c r="I183" s="5"/>
      <c r="J183" s="5"/>
    </row>
    <row r="184" customFormat="false" ht="12.75" hidden="false" customHeight="true" outlineLevel="0" collapsed="false">
      <c r="A184" s="22" t="s">
        <v>2180</v>
      </c>
      <c r="B184" s="22" t="s">
        <v>2181</v>
      </c>
      <c r="C184" s="5"/>
      <c r="D184" s="5"/>
      <c r="E184" s="5"/>
      <c r="F184" s="5"/>
      <c r="G184" s="5"/>
      <c r="H184" s="5"/>
      <c r="I184" s="5"/>
      <c r="J184" s="5"/>
    </row>
    <row r="185" customFormat="false" ht="12.75" hidden="false" customHeight="true" outlineLevel="0" collapsed="false">
      <c r="A185" s="22" t="s">
        <v>2182</v>
      </c>
      <c r="B185" s="22" t="s">
        <v>2183</v>
      </c>
      <c r="C185" s="5"/>
      <c r="D185" s="5"/>
      <c r="E185" s="5"/>
      <c r="F185" s="5"/>
      <c r="G185" s="5"/>
      <c r="H185" s="5"/>
      <c r="I185" s="5"/>
      <c r="J185" s="5"/>
    </row>
    <row r="186" customFormat="false" ht="12.75" hidden="false" customHeight="true" outlineLevel="0" collapsed="false">
      <c r="A186" s="22" t="s">
        <v>2184</v>
      </c>
      <c r="B186" s="22" t="s">
        <v>2185</v>
      </c>
      <c r="C186" s="5"/>
      <c r="D186" s="5"/>
      <c r="E186" s="5"/>
      <c r="F186" s="5"/>
      <c r="G186" s="5"/>
      <c r="H186" s="5"/>
      <c r="I186" s="5"/>
      <c r="J186" s="5"/>
    </row>
    <row r="187" customFormat="false" ht="12.75" hidden="false" customHeight="false" outlineLevel="0" collapsed="false">
      <c r="A187" s="5"/>
      <c r="B187" s="5"/>
      <c r="C187" s="5"/>
      <c r="D187" s="5"/>
      <c r="E187" s="5"/>
      <c r="F187" s="5"/>
      <c r="G187" s="5"/>
      <c r="H187" s="5"/>
      <c r="I187" s="5"/>
      <c r="J187" s="5"/>
    </row>
    <row r="188" customFormat="false" ht="12.75" hidden="false" customHeight="true" outlineLevel="0" collapsed="false">
      <c r="A188" s="22" t="s">
        <v>2186</v>
      </c>
      <c r="B188" s="5"/>
      <c r="C188" s="5"/>
      <c r="D188" s="5"/>
      <c r="E188" s="5"/>
      <c r="F188" s="5"/>
      <c r="G188" s="5"/>
      <c r="H188" s="5"/>
      <c r="I188" s="5"/>
      <c r="J188" s="5"/>
    </row>
    <row r="189" customFormat="false" ht="12.75" hidden="false" customHeight="true" outlineLevel="0" collapsed="false">
      <c r="A189" s="22" t="s">
        <v>2187</v>
      </c>
      <c r="B189" s="22" t="s">
        <v>2188</v>
      </c>
      <c r="C189" s="5"/>
      <c r="D189" s="5"/>
      <c r="E189" s="5"/>
      <c r="F189" s="5"/>
      <c r="G189" s="5"/>
      <c r="H189" s="5"/>
      <c r="I189" s="5"/>
      <c r="J189" s="5"/>
    </row>
    <row r="190" customFormat="false" ht="12.75" hidden="false" customHeight="true" outlineLevel="0" collapsed="false">
      <c r="A190" s="22" t="s">
        <v>2189</v>
      </c>
      <c r="B190" s="5"/>
      <c r="C190" s="5"/>
      <c r="D190" s="5"/>
      <c r="E190" s="5"/>
      <c r="F190" s="5"/>
      <c r="G190" s="5"/>
      <c r="H190" s="5"/>
      <c r="I190" s="5"/>
      <c r="J190" s="5"/>
    </row>
    <row r="191" customFormat="false" ht="12.75" hidden="false" customHeight="true" outlineLevel="0" collapsed="false">
      <c r="A191" s="22" t="s">
        <v>2190</v>
      </c>
      <c r="B191" s="22" t="s">
        <v>2191</v>
      </c>
      <c r="C191" s="22" t="s">
        <v>2192</v>
      </c>
      <c r="D191" s="5"/>
      <c r="E191" s="5"/>
      <c r="F191" s="5"/>
      <c r="G191" s="5"/>
      <c r="H191" s="5"/>
      <c r="I191" s="5"/>
      <c r="J191" s="5"/>
    </row>
    <row r="192" customFormat="false" ht="12.75" hidden="false" customHeight="true" outlineLevel="0" collapsed="false">
      <c r="A192" s="22" t="s">
        <v>2193</v>
      </c>
      <c r="B192" s="22" t="s">
        <v>2194</v>
      </c>
      <c r="C192" s="22" t="s">
        <v>2195</v>
      </c>
      <c r="D192" s="5"/>
      <c r="E192" s="5"/>
      <c r="F192" s="5"/>
      <c r="G192" s="5"/>
      <c r="H192" s="5"/>
      <c r="I192" s="5"/>
      <c r="J192" s="5"/>
    </row>
    <row r="193" customFormat="false" ht="12.75" hidden="false" customHeight="true" outlineLevel="0" collapsed="false">
      <c r="A193" s="22" t="s">
        <v>2196</v>
      </c>
      <c r="B193" s="22" t="n">
        <f aca="false">SGP_Split_Guardrail!D11</f>
        <v>1</v>
      </c>
      <c r="C193" s="22" t="s">
        <v>2197</v>
      </c>
      <c r="D193" s="5"/>
      <c r="E193" s="5"/>
      <c r="F193" s="5"/>
      <c r="G193" s="5"/>
      <c r="H193" s="5"/>
      <c r="I193" s="5"/>
      <c r="J193" s="5"/>
    </row>
    <row r="194" customFormat="false" ht="12.75" hidden="false" customHeight="true" outlineLevel="0" collapsed="false">
      <c r="A194" s="22" t="s">
        <v>2198</v>
      </c>
      <c r="B194" s="22" t="str">
        <f aca="false">SGP_Split_Guardrail!D12</f>
        <v>NOT_EVALUATED_PROFILE_ONLY</v>
      </c>
      <c r="C194" s="22" t="s">
        <v>2199</v>
      </c>
      <c r="D194" s="5"/>
      <c r="E194" s="5"/>
      <c r="F194" s="5"/>
      <c r="G194" s="5"/>
      <c r="H194" s="5"/>
      <c r="I194" s="5"/>
      <c r="J194" s="5"/>
    </row>
    <row r="195" customFormat="false" ht="12.75" hidden="false" customHeight="true" outlineLevel="0" collapsed="false">
      <c r="A195" s="22" t="s">
        <v>2200</v>
      </c>
      <c r="B195" s="22" t="str">
        <f aca="false">SGP_Split_Guardrail!D13</f>
        <v>NOT_EVALUATED_PROFILE_ONLY</v>
      </c>
      <c r="C195" s="22" t="s">
        <v>2201</v>
      </c>
      <c r="D195" s="5"/>
      <c r="E195" s="5"/>
      <c r="F195" s="5"/>
      <c r="G195" s="5"/>
      <c r="H195" s="5"/>
      <c r="I195" s="5"/>
      <c r="J195" s="5"/>
    </row>
    <row r="196" customFormat="false" ht="12.75" hidden="false" customHeight="true" outlineLevel="0" collapsed="false">
      <c r="A196" s="22" t="s">
        <v>2202</v>
      </c>
      <c r="B196" s="22" t="s">
        <v>348</v>
      </c>
      <c r="C196" s="22" t="s">
        <v>2203</v>
      </c>
      <c r="D196" s="5"/>
      <c r="E196" s="5"/>
      <c r="F196" s="5"/>
      <c r="G196" s="5"/>
      <c r="H196" s="5"/>
      <c r="I196" s="5"/>
      <c r="J196" s="5"/>
    </row>
    <row r="197" customFormat="false" ht="12.75" hidden="false" customHeight="true" outlineLevel="0" collapsed="false">
      <c r="A197" s="22" t="s">
        <v>2204</v>
      </c>
      <c r="B197" s="22" t="s">
        <v>2191</v>
      </c>
      <c r="C197" s="22" t="s">
        <v>2205</v>
      </c>
      <c r="D197" s="5"/>
      <c r="E197" s="5"/>
      <c r="F197" s="5"/>
      <c r="G197" s="5"/>
      <c r="H197" s="5"/>
      <c r="I197" s="5"/>
      <c r="J197" s="5"/>
    </row>
    <row r="198" customFormat="false" ht="12.75" hidden="false" customHeight="true" outlineLevel="0" collapsed="false">
      <c r="A198" s="22" t="s">
        <v>2206</v>
      </c>
      <c r="B198" s="22" t="s">
        <v>2191</v>
      </c>
      <c r="C198" s="22" t="s">
        <v>2207</v>
      </c>
      <c r="D198" s="5"/>
      <c r="E198" s="5"/>
      <c r="F198" s="5"/>
      <c r="G198" s="5"/>
      <c r="H198" s="5"/>
      <c r="I198" s="5"/>
      <c r="J198" s="5"/>
    </row>
    <row r="199" customFormat="false" ht="12.75" hidden="false" customHeight="true" outlineLevel="0" collapsed="false">
      <c r="A199" s="22" t="s">
        <v>2208</v>
      </c>
      <c r="B199" s="22" t="s">
        <v>348</v>
      </c>
      <c r="C199" s="22" t="s">
        <v>2209</v>
      </c>
      <c r="D199" s="5"/>
      <c r="E199" s="5"/>
      <c r="F199" s="5"/>
      <c r="G199" s="5"/>
      <c r="H199" s="5"/>
      <c r="I199" s="5"/>
      <c r="J199" s="5"/>
    </row>
    <row r="200" customFormat="false" ht="12.75" hidden="false" customHeight="true" outlineLevel="0" collapsed="false">
      <c r="A200" s="22" t="s">
        <v>2210</v>
      </c>
      <c r="B200" s="22" t="s">
        <v>2211</v>
      </c>
      <c r="C200" s="5"/>
      <c r="D200" s="5"/>
      <c r="E200" s="5"/>
      <c r="F200" s="5"/>
      <c r="G200" s="5"/>
      <c r="H200" s="5"/>
      <c r="I200" s="5"/>
      <c r="J200" s="5"/>
    </row>
    <row r="201" customFormat="false" ht="12.75" hidden="false" customHeight="true" outlineLevel="0" collapsed="false">
      <c r="A201" s="22" t="s">
        <v>2212</v>
      </c>
      <c r="B201" s="22" t="s">
        <v>2213</v>
      </c>
      <c r="C201" s="5"/>
      <c r="D201" s="5"/>
      <c r="E201" s="5"/>
      <c r="F201" s="5"/>
      <c r="G201" s="5"/>
      <c r="H201" s="5"/>
      <c r="I201" s="5"/>
      <c r="J201" s="5"/>
    </row>
    <row r="202" customFormat="false" ht="12.75" hidden="false" customHeight="true" outlineLevel="0" collapsed="false">
      <c r="A202" s="22" t="s">
        <v>2214</v>
      </c>
      <c r="B202" s="22" t="s">
        <v>496</v>
      </c>
      <c r="C202" s="5"/>
      <c r="D202" s="5"/>
      <c r="E202" s="5"/>
      <c r="F202" s="5"/>
      <c r="G202" s="5"/>
      <c r="H202" s="5"/>
      <c r="I202" s="5"/>
      <c r="J202" s="5"/>
    </row>
    <row r="203" customFormat="false" ht="12.75" hidden="false" customHeight="true" outlineLevel="0" collapsed="false">
      <c r="A203" s="22" t="s">
        <v>2215</v>
      </c>
      <c r="B203" s="22" t="s">
        <v>2216</v>
      </c>
      <c r="C203" s="5"/>
      <c r="D203" s="5"/>
      <c r="E203" s="5"/>
      <c r="F203" s="5"/>
      <c r="G203" s="5"/>
      <c r="H203" s="5"/>
      <c r="I203" s="5"/>
      <c r="J203" s="5"/>
    </row>
    <row r="204" customFormat="false" ht="12.75" hidden="false" customHeight="true" outlineLevel="0" collapsed="false">
      <c r="A204" s="22" t="s">
        <v>2217</v>
      </c>
      <c r="B204" s="22" t="s">
        <v>2218</v>
      </c>
      <c r="C204" s="5"/>
      <c r="D204" s="5"/>
      <c r="E204" s="5"/>
      <c r="F204" s="5"/>
      <c r="G204" s="5"/>
      <c r="H204" s="5"/>
      <c r="I204" s="5"/>
      <c r="J204" s="5"/>
    </row>
    <row r="205" customFormat="false" ht="12.75" hidden="false" customHeight="true" outlineLevel="0" collapsed="false">
      <c r="A205" s="22" t="s">
        <v>2219</v>
      </c>
      <c r="B205" s="5"/>
      <c r="C205" s="5"/>
      <c r="D205" s="5"/>
      <c r="E205" s="5"/>
      <c r="F205" s="5"/>
      <c r="G205" s="5"/>
      <c r="H205" s="5"/>
      <c r="I205" s="5"/>
      <c r="J205" s="5"/>
    </row>
    <row r="206" customFormat="false" ht="12.75" hidden="false" customHeight="true" outlineLevel="0" collapsed="false">
      <c r="A206" s="22" t="s">
        <v>2220</v>
      </c>
      <c r="B206" s="22" t="s">
        <v>2221</v>
      </c>
      <c r="C206" s="22" t="s">
        <v>515</v>
      </c>
      <c r="D206" s="5"/>
      <c r="E206" s="5"/>
      <c r="F206" s="5"/>
      <c r="G206" s="5"/>
      <c r="H206" s="5"/>
      <c r="I206" s="5"/>
      <c r="J206" s="5"/>
    </row>
    <row r="207" customFormat="false" ht="12.75" hidden="false" customHeight="true" outlineLevel="0" collapsed="false">
      <c r="A207" s="22" t="s">
        <v>2222</v>
      </c>
      <c r="B207" s="22" t="s">
        <v>315</v>
      </c>
      <c r="C207" s="22" t="s">
        <v>518</v>
      </c>
      <c r="D207" s="5"/>
      <c r="E207" s="5"/>
      <c r="F207" s="5"/>
      <c r="G207" s="5"/>
      <c r="H207" s="5"/>
      <c r="I207" s="5"/>
      <c r="J207" s="5"/>
    </row>
    <row r="208" customFormat="false" ht="12.75" hidden="false" customHeight="true" outlineLevel="0" collapsed="false">
      <c r="A208" s="22" t="s">
        <v>521</v>
      </c>
      <c r="B208" s="22" t="s">
        <v>318</v>
      </c>
      <c r="C208" s="22" t="s">
        <v>521</v>
      </c>
      <c r="D208" s="5"/>
      <c r="E208" s="5"/>
      <c r="F208" s="5"/>
      <c r="G208" s="5"/>
      <c r="H208" s="5"/>
      <c r="I208" s="5"/>
      <c r="J208" s="5"/>
    </row>
    <row r="209" customFormat="false" ht="12.75" hidden="false" customHeight="true" outlineLevel="0" collapsed="false">
      <c r="A209" s="22" t="s">
        <v>2223</v>
      </c>
      <c r="B209" s="22" t="s">
        <v>318</v>
      </c>
      <c r="C209" s="22" t="s">
        <v>524</v>
      </c>
      <c r="D209" s="5"/>
      <c r="E209" s="5"/>
      <c r="F209" s="5"/>
      <c r="G209" s="5"/>
      <c r="H209" s="5"/>
      <c r="I209" s="5"/>
      <c r="J209" s="5"/>
    </row>
    <row r="210" customFormat="false" ht="12.75" hidden="false" customHeight="true" outlineLevel="0" collapsed="false">
      <c r="A210" s="22" t="s">
        <v>2224</v>
      </c>
      <c r="B210" s="22" t="s">
        <v>2225</v>
      </c>
      <c r="C210" s="22" t="s">
        <v>527</v>
      </c>
      <c r="D210" s="5"/>
      <c r="E210" s="5"/>
      <c r="F210" s="5"/>
      <c r="G210" s="5"/>
      <c r="H210" s="5"/>
      <c r="I210" s="5"/>
      <c r="J210" s="5"/>
    </row>
    <row r="211" customFormat="false" ht="12.75" hidden="false" customHeight="true" outlineLevel="0" collapsed="false">
      <c r="A211" s="22" t="s">
        <v>2226</v>
      </c>
      <c r="B211" s="22" t="s">
        <v>326</v>
      </c>
      <c r="C211" s="22" t="s">
        <v>530</v>
      </c>
      <c r="D211" s="5"/>
      <c r="E211" s="5"/>
      <c r="F211" s="5"/>
      <c r="G211" s="5"/>
      <c r="H211" s="5"/>
      <c r="I211" s="5"/>
      <c r="J211" s="5"/>
    </row>
    <row r="212" customFormat="false" ht="12.75" hidden="false" customHeight="true" outlineLevel="0" collapsed="false">
      <c r="A212" s="22" t="s">
        <v>2227</v>
      </c>
      <c r="B212" s="22" t="s">
        <v>2228</v>
      </c>
      <c r="C212" s="5"/>
      <c r="D212" s="5"/>
      <c r="E212" s="5"/>
      <c r="F212" s="5"/>
      <c r="G212" s="5"/>
      <c r="H212" s="5"/>
      <c r="I212" s="5"/>
      <c r="J212" s="5"/>
    </row>
    <row r="213" customFormat="false" ht="12.75" hidden="false" customHeight="false" outlineLevel="0" collapsed="false">
      <c r="A213" s="5"/>
      <c r="B213" s="5"/>
      <c r="C213" s="5"/>
      <c r="D213" s="5"/>
      <c r="E213" s="5"/>
      <c r="F213" s="5"/>
      <c r="G213" s="5"/>
      <c r="H213" s="5"/>
      <c r="I213" s="5"/>
      <c r="J213" s="5"/>
    </row>
    <row r="214" customFormat="false" ht="26.25" hidden="false" customHeight="true" outlineLevel="0" collapsed="false">
      <c r="A214" s="111" t="s">
        <v>2229</v>
      </c>
      <c r="B214" s="111"/>
      <c r="C214" s="111"/>
      <c r="D214" s="111"/>
      <c r="E214" s="111"/>
      <c r="F214" s="111"/>
      <c r="G214" s="111"/>
      <c r="H214" s="111"/>
      <c r="I214" s="5"/>
      <c r="J214" s="5"/>
    </row>
    <row r="215" customFormat="false" ht="12.75" hidden="false" customHeight="true" outlineLevel="0" collapsed="false">
      <c r="A215" s="22" t="s">
        <v>2230</v>
      </c>
      <c r="B215" s="22" t="s">
        <v>318</v>
      </c>
      <c r="C215" s="22" t="s">
        <v>545</v>
      </c>
      <c r="D215" s="22"/>
      <c r="E215" s="22"/>
      <c r="F215" s="22"/>
      <c r="G215" s="22"/>
      <c r="H215" s="22"/>
      <c r="I215" s="5"/>
      <c r="J215" s="5"/>
    </row>
    <row r="216" customFormat="false" ht="12.75" hidden="false" customHeight="true" outlineLevel="0" collapsed="false">
      <c r="A216" s="22" t="s">
        <v>2231</v>
      </c>
      <c r="B216" s="22" t="s">
        <v>318</v>
      </c>
      <c r="C216" s="22" t="s">
        <v>545</v>
      </c>
      <c r="D216" s="22"/>
      <c r="E216" s="22"/>
      <c r="F216" s="22"/>
      <c r="G216" s="22"/>
      <c r="H216" s="22"/>
      <c r="I216" s="5"/>
      <c r="J216" s="5"/>
    </row>
    <row r="217" customFormat="false" ht="12.75" hidden="false" customHeight="true" outlineLevel="0" collapsed="false">
      <c r="A217" s="22" t="s">
        <v>2232</v>
      </c>
      <c r="B217" s="22" t="s">
        <v>2233</v>
      </c>
      <c r="C217" s="22" t="s">
        <v>545</v>
      </c>
      <c r="D217" s="22"/>
      <c r="E217" s="22"/>
      <c r="F217" s="22"/>
      <c r="G217" s="22"/>
      <c r="H217" s="22"/>
      <c r="I217" s="5"/>
      <c r="J217" s="5"/>
    </row>
    <row r="218" customFormat="false" ht="12.75" hidden="false" customHeight="true" outlineLevel="0" collapsed="false">
      <c r="A218" s="22" t="s">
        <v>2234</v>
      </c>
      <c r="B218" s="22" t="s">
        <v>2233</v>
      </c>
      <c r="C218" s="22" t="s">
        <v>545</v>
      </c>
      <c r="D218" s="22"/>
      <c r="E218" s="22"/>
      <c r="F218" s="22"/>
      <c r="G218" s="22"/>
      <c r="H218" s="22"/>
      <c r="I218" s="5"/>
      <c r="J218" s="5"/>
    </row>
    <row r="219" customFormat="false" ht="12.75" hidden="false" customHeight="true" outlineLevel="0" collapsed="false">
      <c r="A219" s="22" t="s">
        <v>2235</v>
      </c>
      <c r="B219" s="22" t="s">
        <v>2233</v>
      </c>
      <c r="C219" s="22" t="s">
        <v>545</v>
      </c>
      <c r="D219" s="22"/>
      <c r="E219" s="22"/>
      <c r="F219" s="22"/>
      <c r="G219" s="22"/>
      <c r="H219" s="22"/>
      <c r="I219" s="5"/>
      <c r="J219" s="5"/>
    </row>
    <row r="220" customFormat="false" ht="12.75" hidden="false" customHeight="true" outlineLevel="0" collapsed="false">
      <c r="A220" s="22" t="s">
        <v>2236</v>
      </c>
      <c r="B220" s="22" t="s">
        <v>2233</v>
      </c>
      <c r="C220" s="22" t="s">
        <v>545</v>
      </c>
      <c r="D220" s="22"/>
      <c r="E220" s="22"/>
      <c r="F220" s="22"/>
      <c r="G220" s="22"/>
      <c r="H220" s="22"/>
      <c r="I220" s="5"/>
      <c r="J220" s="5"/>
    </row>
    <row r="221" customFormat="false" ht="12.75" hidden="false" customHeight="true" outlineLevel="0" collapsed="false">
      <c r="A221" s="22" t="s">
        <v>2237</v>
      </c>
      <c r="B221" s="22" t="s">
        <v>2238</v>
      </c>
      <c r="C221" s="22" t="s">
        <v>545</v>
      </c>
      <c r="D221" s="22"/>
      <c r="E221" s="22"/>
      <c r="F221" s="22"/>
      <c r="G221" s="22"/>
      <c r="H221" s="22"/>
      <c r="I221" s="5"/>
      <c r="J221" s="5"/>
    </row>
    <row r="222" customFormat="false" ht="52.5" hidden="false" customHeight="true" outlineLevel="0" collapsed="false">
      <c r="A222" s="22" t="s">
        <v>2239</v>
      </c>
      <c r="B222" s="22" t="s">
        <v>2240</v>
      </c>
      <c r="C222" s="22"/>
      <c r="D222" s="22"/>
      <c r="E222" s="22"/>
      <c r="F222" s="22"/>
      <c r="G222" s="22"/>
      <c r="H222" s="22"/>
      <c r="I222" s="5"/>
      <c r="J222" s="5"/>
    </row>
    <row r="223" customFormat="false" ht="12.75" hidden="false" customHeight="false" outlineLevel="0" collapsed="false">
      <c r="A223" s="5"/>
      <c r="B223" s="5"/>
      <c r="C223" s="5"/>
      <c r="D223" s="5"/>
      <c r="E223" s="5"/>
      <c r="F223" s="5"/>
      <c r="G223" s="5"/>
      <c r="H223" s="5"/>
      <c r="I223" s="5"/>
      <c r="J223" s="5"/>
    </row>
    <row r="224" customFormat="false" ht="12.75" hidden="false" customHeight="true" outlineLevel="0" collapsed="false">
      <c r="A224" s="112" t="s">
        <v>2241</v>
      </c>
      <c r="B224" s="112"/>
      <c r="C224" s="112"/>
      <c r="D224" s="112"/>
      <c r="E224" s="112"/>
      <c r="F224" s="112"/>
      <c r="G224" s="112"/>
      <c r="H224" s="112"/>
      <c r="I224" s="5"/>
      <c r="J224" s="5"/>
    </row>
    <row r="225" customFormat="false" ht="12.75" hidden="false" customHeight="true" outlineLevel="0" collapsed="false">
      <c r="A225" s="22" t="s">
        <v>2242</v>
      </c>
      <c r="B225" s="22" t="s">
        <v>318</v>
      </c>
      <c r="C225" s="22" t="s">
        <v>533</v>
      </c>
      <c r="D225" s="5"/>
      <c r="E225" s="5"/>
      <c r="F225" s="5"/>
      <c r="G225" s="5"/>
      <c r="H225" s="5"/>
      <c r="I225" s="5"/>
      <c r="J225" s="5"/>
    </row>
    <row r="226" customFormat="false" ht="12.75" hidden="false" customHeight="true" outlineLevel="0" collapsed="false">
      <c r="A226" s="22" t="s">
        <v>2208</v>
      </c>
      <c r="B226" s="22" t="s">
        <v>2243</v>
      </c>
      <c r="C226" s="22" t="s">
        <v>2244</v>
      </c>
      <c r="D226" s="5"/>
      <c r="E226" s="5"/>
      <c r="F226" s="5"/>
      <c r="G226" s="5"/>
      <c r="H226" s="5"/>
      <c r="I226" s="5"/>
      <c r="J226" s="5"/>
    </row>
    <row r="227" customFormat="false" ht="12.75" hidden="false" customHeight="true" outlineLevel="0" collapsed="false">
      <c r="A227" s="22" t="s">
        <v>2245</v>
      </c>
      <c r="B227" s="22" t="s">
        <v>2246</v>
      </c>
      <c r="C227" s="22" t="s">
        <v>536</v>
      </c>
      <c r="D227" s="5"/>
      <c r="E227" s="5"/>
      <c r="F227" s="5"/>
      <c r="G227" s="5"/>
      <c r="H227" s="5"/>
      <c r="I227" s="5"/>
      <c r="J227" s="5"/>
    </row>
    <row r="228" customFormat="false" ht="12.75" hidden="false" customHeight="true" outlineLevel="0" collapsed="false">
      <c r="A228" s="22" t="s">
        <v>2247</v>
      </c>
      <c r="B228" s="22" t="s">
        <v>318</v>
      </c>
      <c r="C228" s="22" t="s">
        <v>539</v>
      </c>
      <c r="D228" s="5"/>
      <c r="E228" s="5"/>
      <c r="F228" s="5"/>
      <c r="G228" s="5"/>
      <c r="H228" s="5"/>
      <c r="I228" s="5"/>
      <c r="J228" s="5"/>
    </row>
    <row r="229" customFormat="false" ht="12.75" hidden="false" customHeight="true" outlineLevel="0" collapsed="false">
      <c r="A229" s="22" t="s">
        <v>2248</v>
      </c>
      <c r="B229" s="22" t="s">
        <v>2249</v>
      </c>
      <c r="C229" s="22" t="s">
        <v>542</v>
      </c>
      <c r="D229" s="5"/>
      <c r="E229" s="5"/>
      <c r="F229" s="5"/>
      <c r="G229" s="5"/>
      <c r="H229" s="5"/>
      <c r="I229" s="5"/>
      <c r="J229" s="5"/>
    </row>
    <row r="230" customFormat="false" ht="12.75" hidden="false" customHeight="true" outlineLevel="0" collapsed="false">
      <c r="A230" s="22" t="s">
        <v>2250</v>
      </c>
      <c r="B230" s="22" t="s">
        <v>2251</v>
      </c>
      <c r="C230" s="5"/>
      <c r="D230" s="5"/>
      <c r="E230" s="5"/>
      <c r="F230" s="5"/>
      <c r="G230" s="5"/>
      <c r="H230" s="5"/>
      <c r="I230" s="5"/>
      <c r="J230" s="5"/>
    </row>
    <row r="231" customFormat="false" ht="12.75" hidden="false" customHeight="false" outlineLevel="0" collapsed="false">
      <c r="A231" s="5"/>
      <c r="B231" s="5"/>
      <c r="C231" s="5"/>
      <c r="D231" s="5"/>
      <c r="E231" s="5"/>
      <c r="F231" s="5"/>
      <c r="G231" s="5"/>
      <c r="H231" s="5"/>
      <c r="I231" s="5"/>
      <c r="J231" s="5"/>
    </row>
    <row r="232" customFormat="false" ht="12.75" hidden="false" customHeight="true" outlineLevel="0" collapsed="false">
      <c r="A232" s="22" t="s">
        <v>2252</v>
      </c>
      <c r="B232" s="5"/>
      <c r="C232" s="5"/>
      <c r="D232" s="5"/>
      <c r="E232" s="5"/>
      <c r="F232" s="5"/>
      <c r="G232" s="5"/>
      <c r="H232" s="5"/>
      <c r="I232" s="5"/>
      <c r="J232" s="5"/>
    </row>
    <row r="233" customFormat="false" ht="12.75" hidden="false" customHeight="true" outlineLevel="0" collapsed="false">
      <c r="A233" s="22" t="s">
        <v>2253</v>
      </c>
      <c r="B233" s="22" t="str">
        <f aca="false">ReferenceStructureRecord!A2</f>
        <v>ORG-2026-001</v>
      </c>
      <c r="C233" s="22" t="s">
        <v>579</v>
      </c>
      <c r="D233" s="5"/>
      <c r="E233" s="5"/>
      <c r="F233" s="5"/>
      <c r="G233" s="5"/>
      <c r="H233" s="5"/>
      <c r="I233" s="5"/>
      <c r="J233" s="5"/>
    </row>
    <row r="234" customFormat="false" ht="12.75" hidden="false" customHeight="true" outlineLevel="0" collapsed="false">
      <c r="A234" s="22" t="s">
        <v>2254</v>
      </c>
      <c r="B234" s="22" t="str">
        <f aca="false">ReferenceStructureRecord!Z2</f>
        <v>COMPLETE</v>
      </c>
      <c r="C234" s="22" t="s">
        <v>583</v>
      </c>
      <c r="D234" s="5"/>
      <c r="E234" s="5"/>
      <c r="F234" s="5"/>
      <c r="G234" s="5"/>
      <c r="H234" s="5"/>
      <c r="I234" s="5"/>
      <c r="J234" s="5"/>
    </row>
    <row r="235" customFormat="false" ht="12.75" hidden="false" customHeight="true" outlineLevel="0" collapsed="false">
      <c r="A235" s="22" t="s">
        <v>2255</v>
      </c>
      <c r="B235" s="22" t="s">
        <v>1762</v>
      </c>
      <c r="C235" s="22" t="s">
        <v>2256</v>
      </c>
      <c r="D235" s="5"/>
      <c r="E235" s="5"/>
      <c r="F235" s="5"/>
      <c r="G235" s="5"/>
      <c r="H235" s="5"/>
      <c r="I235" s="5"/>
      <c r="J235" s="5"/>
    </row>
    <row r="236" customFormat="false" ht="12.75" hidden="false" customHeight="true" outlineLevel="0" collapsed="false">
      <c r="A236" s="22" t="s">
        <v>2257</v>
      </c>
      <c r="B236" s="22" t="str">
        <f aca="false">ReferenceStructureRecord!Q2</f>
        <v>ESTIMATED</v>
      </c>
      <c r="C236" s="22" t="s">
        <v>2258</v>
      </c>
      <c r="D236" s="5"/>
      <c r="E236" s="5"/>
      <c r="F236" s="5"/>
      <c r="G236" s="5"/>
      <c r="H236" s="5"/>
      <c r="I236" s="5"/>
      <c r="J236" s="5"/>
    </row>
    <row r="237" customFormat="false" ht="12.75" hidden="false" customHeight="true" outlineLevel="0" collapsed="false">
      <c r="A237" s="22" t="s">
        <v>2259</v>
      </c>
      <c r="B237" s="22" t="str">
        <f aca="false">ReferenceStructureRecord!S2</f>
        <v>Materially worse cohesion, rights impacts, productivity, burnout, information access, due process, or tail-risk indicators than the declared monitoring thresholds would falsify or force revision of the claim.</v>
      </c>
      <c r="C237" s="22" t="s">
        <v>2260</v>
      </c>
      <c r="D237" s="5"/>
      <c r="E237" s="5"/>
      <c r="F237" s="5"/>
      <c r="G237" s="5"/>
      <c r="H237" s="5"/>
      <c r="I237" s="5"/>
      <c r="J237" s="5"/>
    </row>
    <row r="238" customFormat="false" ht="12.75" hidden="false" customHeight="true" outlineLevel="0" collapsed="false">
      <c r="A238" s="22" t="s">
        <v>2261</v>
      </c>
      <c r="B238" s="22" t="str">
        <f aca="false">ReferenceStructureRecord!U2</f>
        <v>Advisory organizational decision support only; no legal, public-governance, deployment-readiness, or compliance certification.</v>
      </c>
      <c r="C238" s="22" t="s">
        <v>2262</v>
      </c>
      <c r="D238" s="5"/>
      <c r="E238" s="5"/>
      <c r="F238" s="5"/>
      <c r="G238" s="5"/>
      <c r="H238" s="5"/>
      <c r="I238" s="5"/>
      <c r="J238" s="5"/>
    </row>
    <row r="239" customFormat="false" ht="12.75" hidden="false" customHeight="true" outlineLevel="0" collapsed="false">
      <c r="A239" s="22" t="s">
        <v>2263</v>
      </c>
      <c r="B239" s="22" t="s">
        <v>2264</v>
      </c>
      <c r="C239" s="5"/>
      <c r="D239" s="5"/>
      <c r="E239" s="5"/>
      <c r="F239" s="5"/>
      <c r="G239" s="5"/>
      <c r="H239" s="5"/>
      <c r="I239" s="5"/>
      <c r="J239" s="5"/>
    </row>
    <row r="240" customFormat="false" ht="68.65" hidden="false" customHeight="false" outlineLevel="0" collapsed="false">
      <c r="A240" s="5" t="s">
        <v>2265</v>
      </c>
      <c r="B240" s="5" t="s">
        <v>2266</v>
      </c>
      <c r="C240" s="5" t="s">
        <v>2267</v>
      </c>
      <c r="D240" s="5"/>
      <c r="E240" s="5"/>
      <c r="F240" s="5"/>
      <c r="G240" s="5"/>
      <c r="H240" s="5"/>
      <c r="I240" s="5"/>
      <c r="J240" s="5"/>
    </row>
  </sheetData>
  <mergeCells count="2">
    <mergeCell ref="A1:J1"/>
    <mergeCell ref="A151:B15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S17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4.25" customHeight="true" zeroHeight="false" outlineLevelRow="0" outlineLevelCol="0"/>
  <cols>
    <col collapsed="false" customWidth="true" hidden="false" outlineLevel="0" max="3" min="1" style="20" width="36"/>
    <col collapsed="false" customWidth="true" hidden="false" outlineLevel="0" max="4" min="4" style="20" width="23"/>
    <col collapsed="false" customWidth="true" hidden="false" outlineLevel="0" max="6" min="5" style="20" width="36"/>
    <col collapsed="false" customWidth="true" hidden="false" outlineLevel="0" max="8" min="7" style="2" width="10"/>
    <col collapsed="false" customWidth="true" hidden="false" outlineLevel="0" max="19" min="9" style="20" width="10"/>
  </cols>
  <sheetData>
    <row r="1" customFormat="false" ht="14.25" hidden="false" customHeight="true" outlineLevel="0" collapsed="false">
      <c r="A1" s="21" t="s">
        <v>2268</v>
      </c>
      <c r="B1" s="3"/>
      <c r="C1" s="3"/>
      <c r="D1" s="3"/>
      <c r="E1" s="3"/>
      <c r="F1" s="3"/>
      <c r="G1" s="3"/>
      <c r="H1" s="3"/>
      <c r="I1" s="3"/>
      <c r="J1" s="3"/>
      <c r="K1" s="3"/>
      <c r="L1" s="3"/>
      <c r="M1" s="3"/>
      <c r="N1" s="3"/>
      <c r="O1" s="3"/>
      <c r="P1" s="3"/>
      <c r="Q1" s="3"/>
      <c r="R1" s="3"/>
      <c r="S1" s="3"/>
    </row>
    <row r="2" customFormat="false" ht="13.5" hidden="false" customHeight="true" outlineLevel="0" collapsed="false">
      <c r="A2" s="5"/>
      <c r="B2" s="5"/>
      <c r="C2" s="5"/>
      <c r="D2" s="5"/>
      <c r="E2" s="5"/>
      <c r="F2" s="5"/>
      <c r="G2" s="5"/>
      <c r="H2" s="5"/>
      <c r="I2" s="5"/>
      <c r="J2" s="5"/>
      <c r="K2" s="5"/>
      <c r="L2" s="5"/>
      <c r="M2" s="5"/>
      <c r="N2" s="5"/>
      <c r="O2" s="5"/>
      <c r="P2" s="5"/>
      <c r="Q2" s="5"/>
      <c r="R2" s="5"/>
      <c r="S2" s="5"/>
    </row>
    <row r="3" customFormat="false" ht="14.25" hidden="false" customHeight="true" outlineLevel="0" collapsed="false">
      <c r="A3" s="36" t="s">
        <v>2269</v>
      </c>
      <c r="B3" s="68" t="s">
        <v>2270</v>
      </c>
      <c r="C3" s="5"/>
      <c r="D3" s="5"/>
      <c r="E3" s="5"/>
      <c r="F3" s="5"/>
      <c r="G3" s="5"/>
      <c r="H3" s="5"/>
      <c r="I3" s="5"/>
      <c r="J3" s="5"/>
      <c r="K3" s="5"/>
      <c r="L3" s="5"/>
      <c r="M3" s="5"/>
      <c r="N3" s="5"/>
      <c r="O3" s="5"/>
      <c r="P3" s="5"/>
      <c r="Q3" s="5"/>
      <c r="R3" s="5"/>
      <c r="S3" s="5"/>
    </row>
    <row r="4" customFormat="false" ht="14.25" hidden="false" customHeight="true" outlineLevel="0" collapsed="false">
      <c r="A4" s="36" t="s">
        <v>2271</v>
      </c>
      <c r="B4" s="36" t="s">
        <v>2272</v>
      </c>
      <c r="C4" s="5"/>
      <c r="D4" s="5"/>
      <c r="E4" s="5"/>
      <c r="F4" s="5"/>
      <c r="G4" s="5"/>
      <c r="H4" s="5"/>
      <c r="I4" s="5"/>
      <c r="J4" s="5"/>
      <c r="K4" s="5"/>
      <c r="L4" s="5"/>
      <c r="M4" s="5"/>
      <c r="N4" s="5"/>
      <c r="O4" s="5"/>
      <c r="P4" s="5"/>
      <c r="Q4" s="5"/>
      <c r="R4" s="5"/>
      <c r="S4" s="5"/>
    </row>
    <row r="5" customFormat="false" ht="14.25" hidden="false" customHeight="true" outlineLevel="0" collapsed="false">
      <c r="A5" s="37" t="s">
        <v>2273</v>
      </c>
      <c r="B5" s="36" t="str">
        <f aca="false">"SENSITIVITY_NOT_RUN = "&amp;IF(B3="NOT PERFORMED","YES","NO")&amp;" (REVIEW severity)"</f>
        <v>SENSITIVITY_NOT_RUN = NO (REVIEW severity)</v>
      </c>
      <c r="C5" s="5"/>
      <c r="D5" s="5"/>
      <c r="E5" s="5"/>
      <c r="F5" s="5"/>
      <c r="G5" s="5"/>
      <c r="H5" s="5"/>
      <c r="I5" s="5"/>
      <c r="J5" s="5"/>
      <c r="K5" s="5"/>
      <c r="L5" s="5"/>
      <c r="M5" s="5"/>
      <c r="N5" s="5"/>
      <c r="O5" s="5"/>
      <c r="P5" s="5"/>
      <c r="Q5" s="5"/>
      <c r="R5" s="5"/>
      <c r="S5" s="5"/>
    </row>
    <row r="6" customFormat="false" ht="13.5" hidden="false" customHeight="true" outlineLevel="0" collapsed="false">
      <c r="A6" s="5"/>
      <c r="B6" s="5"/>
      <c r="C6" s="5"/>
      <c r="D6" s="5"/>
      <c r="E6" s="5"/>
      <c r="F6" s="5"/>
      <c r="G6" s="5"/>
      <c r="H6" s="5"/>
      <c r="I6" s="5"/>
      <c r="J6" s="5"/>
      <c r="K6" s="5"/>
      <c r="L6" s="5"/>
      <c r="M6" s="5"/>
      <c r="N6" s="5"/>
      <c r="O6" s="5"/>
      <c r="P6" s="5"/>
      <c r="Q6" s="5"/>
      <c r="R6" s="5"/>
      <c r="S6" s="5"/>
    </row>
    <row r="7" customFormat="false" ht="14.25" hidden="false" customHeight="true" outlineLevel="0" collapsed="false">
      <c r="A7" s="65" t="s">
        <v>2274</v>
      </c>
      <c r="B7" s="5"/>
      <c r="C7" s="5"/>
      <c r="D7" s="5"/>
      <c r="E7" s="5"/>
      <c r="F7" s="5"/>
      <c r="G7" s="5"/>
      <c r="H7" s="5"/>
      <c r="I7" s="5"/>
      <c r="J7" s="5"/>
      <c r="K7" s="5"/>
      <c r="L7" s="5"/>
      <c r="M7" s="5"/>
      <c r="N7" s="5"/>
      <c r="O7" s="5"/>
      <c r="P7" s="5"/>
      <c r="Q7" s="5"/>
      <c r="R7" s="5"/>
      <c r="S7" s="5"/>
    </row>
    <row r="8" customFormat="false" ht="14.25" hidden="false" customHeight="true" outlineLevel="0" collapsed="false">
      <c r="A8" s="65" t="s">
        <v>2275</v>
      </c>
      <c r="B8" s="65" t="s">
        <v>2276</v>
      </c>
      <c r="C8" s="65" t="s">
        <v>2277</v>
      </c>
      <c r="D8" s="65" t="s">
        <v>2278</v>
      </c>
      <c r="E8" s="65" t="s">
        <v>2279</v>
      </c>
      <c r="F8" s="65" t="s">
        <v>979</v>
      </c>
      <c r="G8" s="5"/>
      <c r="H8" s="5"/>
      <c r="I8" s="5"/>
      <c r="J8" s="5"/>
      <c r="K8" s="5"/>
      <c r="L8" s="5"/>
      <c r="M8" s="5"/>
      <c r="N8" s="5"/>
      <c r="O8" s="5"/>
      <c r="P8" s="5"/>
      <c r="Q8" s="5"/>
      <c r="R8" s="5"/>
      <c r="S8" s="5"/>
    </row>
    <row r="9" customFormat="false" ht="14.25" hidden="false" customHeight="true" outlineLevel="0" collapsed="false">
      <c r="A9" s="36" t="s">
        <v>2280</v>
      </c>
      <c r="B9" s="36" t="s">
        <v>2281</v>
      </c>
      <c r="C9" s="36" t="s">
        <v>2282</v>
      </c>
      <c r="D9" s="36" t="str">
        <f aca="false">D34</f>
        <v>A</v>
      </c>
      <c r="E9" s="36" t="str">
        <f aca="false">IF(D9=$D$14,"YES","NO")</f>
        <v>YES</v>
      </c>
      <c r="F9" s="36" t="s">
        <v>2283</v>
      </c>
      <c r="G9" s="5"/>
      <c r="H9" s="5"/>
      <c r="I9" s="5"/>
      <c r="J9" s="5"/>
      <c r="K9" s="5"/>
      <c r="L9" s="5"/>
      <c r="M9" s="5"/>
      <c r="N9" s="5"/>
      <c r="O9" s="5"/>
      <c r="P9" s="5"/>
      <c r="Q9" s="5"/>
      <c r="R9" s="5"/>
      <c r="S9" s="5"/>
    </row>
    <row r="10" customFormat="false" ht="14.25" hidden="false" customHeight="true" outlineLevel="0" collapsed="false">
      <c r="A10" s="36" t="s">
        <v>2284</v>
      </c>
      <c r="B10" s="36" t="s">
        <v>2285</v>
      </c>
      <c r="C10" s="36" t="s">
        <v>2282</v>
      </c>
      <c r="D10" s="36" t="str">
        <f aca="false">D35</f>
        <v>A</v>
      </c>
      <c r="E10" s="36" t="str">
        <f aca="false">IF(D10=$D$14,"YES","NO")</f>
        <v>YES</v>
      </c>
      <c r="F10" s="36" t="s">
        <v>2283</v>
      </c>
      <c r="G10" s="5"/>
      <c r="H10" s="5"/>
      <c r="I10" s="5"/>
      <c r="J10" s="5"/>
      <c r="K10" s="5"/>
      <c r="L10" s="5"/>
      <c r="M10" s="5"/>
      <c r="N10" s="5"/>
      <c r="O10" s="5"/>
      <c r="P10" s="5"/>
      <c r="Q10" s="5"/>
      <c r="R10" s="5"/>
      <c r="S10" s="5"/>
    </row>
    <row r="11" customFormat="false" ht="14.25" hidden="false" customHeight="true" outlineLevel="0" collapsed="false">
      <c r="A11" s="36" t="s">
        <v>2286</v>
      </c>
      <c r="B11" s="36" t="s">
        <v>2287</v>
      </c>
      <c r="C11" s="36" t="s">
        <v>2282</v>
      </c>
      <c r="D11" s="36" t="str">
        <f aca="false">D36</f>
        <v>A</v>
      </c>
      <c r="E11" s="36" t="str">
        <f aca="false">IF(D11=$D$14,"YES","NO")</f>
        <v>YES</v>
      </c>
      <c r="F11" s="36" t="s">
        <v>2283</v>
      </c>
      <c r="G11" s="5"/>
      <c r="H11" s="5"/>
      <c r="I11" s="5"/>
      <c r="J11" s="5"/>
      <c r="K11" s="5"/>
      <c r="L11" s="5"/>
      <c r="M11" s="5"/>
      <c r="N11" s="5"/>
      <c r="O11" s="5"/>
      <c r="P11" s="5"/>
      <c r="Q11" s="5"/>
      <c r="R11" s="5"/>
      <c r="S11" s="5"/>
    </row>
    <row r="12" customFormat="false" ht="14.25" hidden="false" customHeight="true" outlineLevel="0" collapsed="false">
      <c r="A12" s="36" t="s">
        <v>2288</v>
      </c>
      <c r="B12" s="36" t="s">
        <v>2289</v>
      </c>
      <c r="C12" s="36" t="s">
        <v>2290</v>
      </c>
      <c r="D12" s="36" t="str">
        <f aca="false">N122&amp;", "&amp;N123</f>
        <v>PASS, PASS</v>
      </c>
      <c r="E12" s="36" t="str">
        <f aca="false">IF(AND(N122="PASS",N123="PASS"),"YES","NO")</f>
        <v>YES</v>
      </c>
      <c r="F12" s="36" t="s">
        <v>2291</v>
      </c>
      <c r="G12" s="5"/>
      <c r="H12" s="5"/>
      <c r="I12" s="5"/>
      <c r="J12" s="5"/>
      <c r="K12" s="5"/>
      <c r="L12" s="5"/>
      <c r="M12" s="5"/>
      <c r="N12" s="5"/>
      <c r="O12" s="5"/>
      <c r="P12" s="5"/>
      <c r="Q12" s="5"/>
      <c r="R12" s="5"/>
      <c r="S12" s="5"/>
    </row>
    <row r="13" customFormat="false" ht="14.25" hidden="false" customHeight="true" outlineLevel="0" collapsed="false">
      <c r="A13" s="65" t="s">
        <v>2292</v>
      </c>
      <c r="B13" s="65" t="s">
        <v>207</v>
      </c>
      <c r="C13" s="65" t="s">
        <v>208</v>
      </c>
      <c r="D13" s="65" t="s">
        <v>2293</v>
      </c>
      <c r="E13" s="65" t="s">
        <v>1618</v>
      </c>
      <c r="F13" s="5"/>
      <c r="G13" s="5"/>
      <c r="H13" s="5"/>
      <c r="I13" s="5"/>
      <c r="J13" s="5"/>
      <c r="K13" s="5"/>
      <c r="L13" s="5"/>
      <c r="M13" s="5"/>
      <c r="N13" s="5"/>
      <c r="O13" s="5"/>
      <c r="P13" s="5"/>
      <c r="Q13" s="5"/>
      <c r="R13" s="5"/>
      <c r="S13" s="5"/>
    </row>
    <row r="14" customFormat="false" ht="14.25" hidden="false" customHeight="true" outlineLevel="0" collapsed="false">
      <c r="A14" s="36" t="s">
        <v>2294</v>
      </c>
      <c r="B14" s="49" t="n">
        <f aca="false">RLS!B61</f>
        <v>0.0153129427168233</v>
      </c>
      <c r="C14" s="49" t="n">
        <f aca="false">RLS!B62</f>
        <v>-0.00112238738505248</v>
      </c>
      <c r="D14" s="36" t="str">
        <f aca="false">IF(B14&gt;=C14,"A","B")</f>
        <v>A</v>
      </c>
      <c r="E14" s="36" t="n">
        <f aca="false">B14-C14</f>
        <v>0.0164353301018758</v>
      </c>
      <c r="F14" s="5"/>
      <c r="G14" s="5"/>
      <c r="H14" s="5"/>
      <c r="I14" s="5"/>
      <c r="J14" s="5"/>
      <c r="K14" s="5"/>
      <c r="L14" s="5"/>
      <c r="M14" s="5"/>
      <c r="N14" s="5"/>
      <c r="O14" s="5"/>
      <c r="P14" s="5"/>
      <c r="Q14" s="5"/>
      <c r="R14" s="5"/>
      <c r="S14" s="5"/>
    </row>
    <row r="15" customFormat="false" ht="14.25" hidden="false" customHeight="true" outlineLevel="0" collapsed="false">
      <c r="A15" s="37" t="s">
        <v>2295</v>
      </c>
      <c r="B15" s="5"/>
      <c r="C15" s="5"/>
      <c r="D15" s="5"/>
      <c r="E15" s="5"/>
      <c r="F15" s="5"/>
      <c r="G15" s="5"/>
      <c r="H15" s="5"/>
      <c r="I15" s="5"/>
      <c r="J15" s="5"/>
      <c r="K15" s="5"/>
      <c r="L15" s="5"/>
      <c r="M15" s="5"/>
      <c r="N15" s="5"/>
      <c r="O15" s="5"/>
      <c r="P15" s="5"/>
      <c r="Q15" s="5"/>
      <c r="R15" s="5"/>
      <c r="S15" s="5"/>
    </row>
    <row r="16" customFormat="false" ht="14.25" hidden="false" customHeight="true" outlineLevel="0" collapsed="false">
      <c r="A16" s="36" t="s">
        <v>30</v>
      </c>
      <c r="B16" s="36"/>
      <c r="C16" s="5"/>
      <c r="D16" s="5"/>
      <c r="E16" s="5"/>
      <c r="F16" s="5"/>
      <c r="G16" s="5"/>
      <c r="H16" s="5"/>
      <c r="I16" s="5"/>
      <c r="J16" s="5"/>
      <c r="K16" s="5"/>
      <c r="L16" s="5"/>
      <c r="M16" s="5"/>
      <c r="N16" s="5"/>
      <c r="O16" s="5"/>
      <c r="P16" s="5"/>
      <c r="Q16" s="5"/>
      <c r="R16" s="5"/>
      <c r="S16" s="5"/>
    </row>
    <row r="17" customFormat="false" ht="13.5" hidden="false" customHeight="true" outlineLevel="0" collapsed="false">
      <c r="A17" s="5" t="s">
        <v>2296</v>
      </c>
      <c r="B17" s="5" t="s">
        <v>2297</v>
      </c>
      <c r="C17" s="5"/>
      <c r="D17" s="5"/>
      <c r="E17" s="5"/>
      <c r="F17" s="5"/>
      <c r="G17" s="5"/>
      <c r="H17" s="5"/>
      <c r="I17" s="5"/>
      <c r="J17" s="5"/>
      <c r="K17" s="5"/>
      <c r="L17" s="5"/>
      <c r="M17" s="5"/>
      <c r="N17" s="5"/>
      <c r="O17" s="5"/>
      <c r="P17" s="5"/>
      <c r="Q17" s="5"/>
      <c r="R17" s="5"/>
      <c r="S17" s="5"/>
    </row>
    <row r="18" customFormat="false" ht="14.25" hidden="false" customHeight="true" outlineLevel="0" collapsed="false">
      <c r="A18" s="50"/>
      <c r="B18" s="5"/>
      <c r="C18" s="5"/>
      <c r="D18" s="5"/>
      <c r="E18" s="5"/>
      <c r="F18" s="5"/>
      <c r="G18" s="5"/>
      <c r="H18" s="5"/>
      <c r="I18" s="5"/>
      <c r="J18" s="5"/>
      <c r="K18" s="5"/>
      <c r="L18" s="5"/>
      <c r="M18" s="5"/>
      <c r="N18" s="5"/>
      <c r="O18" s="5"/>
      <c r="P18" s="5"/>
      <c r="Q18" s="5"/>
      <c r="R18" s="5"/>
      <c r="S18" s="5"/>
    </row>
    <row r="19" customFormat="false" ht="13.5" hidden="false" customHeight="true" outlineLevel="0" collapsed="false">
      <c r="A19" s="5"/>
      <c r="B19" s="5"/>
      <c r="C19" s="5"/>
      <c r="D19" s="5"/>
      <c r="E19" s="5"/>
      <c r="F19" s="5"/>
      <c r="G19" s="5"/>
      <c r="H19" s="5"/>
      <c r="I19" s="5"/>
      <c r="J19" s="5"/>
      <c r="K19" s="5"/>
      <c r="L19" s="5"/>
      <c r="M19" s="5"/>
      <c r="N19" s="5"/>
      <c r="O19" s="5"/>
      <c r="P19" s="5"/>
      <c r="Q19" s="5"/>
      <c r="R19" s="5"/>
      <c r="S19" s="5"/>
    </row>
    <row r="20" customFormat="false" ht="14.25" hidden="false" customHeight="true" outlineLevel="0" collapsed="false">
      <c r="A20" s="37"/>
      <c r="B20" s="5"/>
      <c r="C20" s="5"/>
      <c r="D20" s="5"/>
      <c r="E20" s="5"/>
      <c r="F20" s="5"/>
      <c r="G20" s="5"/>
      <c r="H20" s="5"/>
      <c r="I20" s="5"/>
      <c r="J20" s="5"/>
      <c r="K20" s="36" t="s">
        <v>771</v>
      </c>
      <c r="L20" s="36" t="s">
        <v>761</v>
      </c>
      <c r="M20" s="36" t="s">
        <v>770</v>
      </c>
      <c r="N20" s="36" t="s">
        <v>772</v>
      </c>
      <c r="O20" s="36" t="s">
        <v>769</v>
      </c>
      <c r="P20" s="36" t="s">
        <v>895</v>
      </c>
      <c r="Q20" s="36" t="s">
        <v>767</v>
      </c>
      <c r="R20" s="5"/>
      <c r="S20" s="5"/>
    </row>
    <row r="21" customFormat="false" ht="14.25" hidden="false" customHeight="true" outlineLevel="0" collapsed="false">
      <c r="A21" s="5"/>
      <c r="B21" s="5"/>
      <c r="C21" s="5"/>
      <c r="D21" s="5"/>
      <c r="E21" s="5"/>
      <c r="F21" s="5"/>
      <c r="G21" s="5"/>
      <c r="H21" s="5"/>
      <c r="I21" s="5"/>
      <c r="J21" s="36" t="s">
        <v>2298</v>
      </c>
      <c r="K21" s="40" t="n">
        <f aca="false">Parameters!$B$48</f>
        <v>0.142857142857143</v>
      </c>
      <c r="L21" s="40" t="n">
        <f aca="false">Parameters!$B$49</f>
        <v>0.142857142857143</v>
      </c>
      <c r="M21" s="40" t="n">
        <f aca="false">Parameters!$B$50</f>
        <v>0.142857142857143</v>
      </c>
      <c r="N21" s="40" t="n">
        <f aca="false">Parameters!$B$51</f>
        <v>0.142857142857143</v>
      </c>
      <c r="O21" s="40" t="n">
        <f aca="false">Parameters!$B$52</f>
        <v>0.142857142857143</v>
      </c>
      <c r="P21" s="40" t="n">
        <f aca="false">Parameters!$B$53</f>
        <v>0.142857142857143</v>
      </c>
      <c r="Q21" s="40" t="n">
        <f aca="false">Parameters!$B$54</f>
        <v>0.142857142857143</v>
      </c>
      <c r="R21" s="5"/>
      <c r="S21" s="5"/>
    </row>
    <row r="22" customFormat="false" ht="14.25" hidden="false" customHeight="true" outlineLevel="0" collapsed="false">
      <c r="A22" s="5"/>
      <c r="B22" s="5"/>
      <c r="C22" s="5"/>
      <c r="D22" s="5"/>
      <c r="E22" s="5"/>
      <c r="F22" s="5"/>
      <c r="G22" s="5"/>
      <c r="H22" s="5"/>
      <c r="I22" s="5"/>
      <c r="J22" s="36" t="s">
        <v>2299</v>
      </c>
      <c r="K22" s="36" t="n">
        <v>1.1</v>
      </c>
      <c r="L22" s="36" t="n">
        <v>1</v>
      </c>
      <c r="M22" s="36" t="n">
        <v>1</v>
      </c>
      <c r="N22" s="36" t="n">
        <v>1</v>
      </c>
      <c r="O22" s="36" t="n">
        <v>1</v>
      </c>
      <c r="P22" s="36" t="n">
        <v>1</v>
      </c>
      <c r="Q22" s="36" t="n">
        <v>1</v>
      </c>
      <c r="R22" s="5"/>
      <c r="S22" s="5"/>
    </row>
    <row r="23" customFormat="false" ht="14.25" hidden="false" customHeight="true" outlineLevel="0" collapsed="false">
      <c r="A23" s="5"/>
      <c r="B23" s="5"/>
      <c r="C23" s="5"/>
      <c r="D23" s="5"/>
      <c r="E23" s="5"/>
      <c r="F23" s="5"/>
      <c r="G23" s="5"/>
      <c r="H23" s="5"/>
      <c r="I23" s="5"/>
      <c r="J23" s="36" t="s">
        <v>2300</v>
      </c>
      <c r="K23" s="36" t="n">
        <f aca="false">K$21*K$22/SUMPRODUCT($K$21:$Q$21,$K$22:$Q$22)</f>
        <v>0.154929577464789</v>
      </c>
      <c r="L23" s="36" t="n">
        <f aca="false">L$21*L$22/SUMPRODUCT($K$21:$Q$21,$K$22:$Q$22)</f>
        <v>0.140845070422535</v>
      </c>
      <c r="M23" s="36" t="n">
        <f aca="false">M$21*M$22/SUMPRODUCT($K$21:$Q$21,$K$22:$Q$22)</f>
        <v>0.140845070422535</v>
      </c>
      <c r="N23" s="36" t="n">
        <f aca="false">N$21*N$22/SUMPRODUCT($K$21:$Q$21,$K$22:$Q$22)</f>
        <v>0.140845070422535</v>
      </c>
      <c r="O23" s="36" t="n">
        <f aca="false">O$21*O$22/SUMPRODUCT($K$21:$Q$21,$K$22:$Q$22)</f>
        <v>0.140845070422535</v>
      </c>
      <c r="P23" s="36" t="n">
        <f aca="false">P$21*P$22/SUMPRODUCT($K$21:$Q$21,$K$22:$Q$22)</f>
        <v>0.140845070422535</v>
      </c>
      <c r="Q23" s="36" t="n">
        <f aca="false">Q$21*Q$22/SUMPRODUCT($K$21:$Q$21,$K$22:$Q$22)</f>
        <v>0.140845070422535</v>
      </c>
      <c r="R23" s="5"/>
      <c r="S23" s="5"/>
    </row>
    <row r="24" customFormat="false" ht="14.25" hidden="false" customHeight="true" outlineLevel="0" collapsed="false">
      <c r="A24" s="5"/>
      <c r="B24" s="5"/>
      <c r="C24" s="5"/>
      <c r="D24" s="5"/>
      <c r="E24" s="5"/>
      <c r="F24" s="5"/>
      <c r="G24" s="5"/>
      <c r="H24" s="5"/>
      <c r="I24" s="5"/>
      <c r="J24" s="36" t="s">
        <v>2301</v>
      </c>
      <c r="K24" s="36" t="n">
        <v>1</v>
      </c>
      <c r="L24" s="36" t="n">
        <v>1</v>
      </c>
      <c r="M24" s="36" t="n">
        <v>1</v>
      </c>
      <c r="N24" s="36" t="n">
        <v>1</v>
      </c>
      <c r="O24" s="36" t="n">
        <v>1</v>
      </c>
      <c r="P24" s="36" t="n">
        <v>1</v>
      </c>
      <c r="Q24" s="36" t="n">
        <v>1.1</v>
      </c>
      <c r="R24" s="5"/>
      <c r="S24" s="5"/>
    </row>
    <row r="25" customFormat="false" ht="14.25" hidden="false" customHeight="true" outlineLevel="0" collapsed="false">
      <c r="A25" s="36" t="s">
        <v>2302</v>
      </c>
      <c r="B25" s="5"/>
      <c r="C25" s="5"/>
      <c r="D25" s="5"/>
      <c r="E25" s="5"/>
      <c r="F25" s="5"/>
      <c r="G25" s="5"/>
      <c r="H25" s="5"/>
      <c r="I25" s="5"/>
      <c r="J25" s="36" t="s">
        <v>2303</v>
      </c>
      <c r="K25" s="36" t="n">
        <f aca="false">K$21*K$24/SUMPRODUCT($K$21:$Q$21,$K$24:$Q$24)</f>
        <v>0.140845070422535</v>
      </c>
      <c r="L25" s="36" t="n">
        <f aca="false">L$21*L$24/SUMPRODUCT($K$21:$Q$21,$K$24:$Q$24)</f>
        <v>0.140845070422535</v>
      </c>
      <c r="M25" s="36" t="n">
        <f aca="false">M$21*M$24/SUMPRODUCT($K$21:$Q$21,$K$24:$Q$24)</f>
        <v>0.140845070422535</v>
      </c>
      <c r="N25" s="36" t="n">
        <f aca="false">N$21*N$24/SUMPRODUCT($K$21:$Q$21,$K$24:$Q$24)</f>
        <v>0.140845070422535</v>
      </c>
      <c r="O25" s="36" t="n">
        <f aca="false">O$21*O$24/SUMPRODUCT($K$21:$Q$21,$K$24:$Q$24)</f>
        <v>0.140845070422535</v>
      </c>
      <c r="P25" s="36" t="n">
        <f aca="false">P$21*P$24/SUMPRODUCT($K$21:$Q$21,$K$24:$Q$24)</f>
        <v>0.140845070422535</v>
      </c>
      <c r="Q25" s="36" t="n">
        <f aca="false">Q$21*Q$24/SUMPRODUCT($K$21:$Q$21,$K$24:$Q$24)</f>
        <v>0.154929577464789</v>
      </c>
      <c r="R25" s="5"/>
      <c r="S25" s="5"/>
    </row>
    <row r="26" customFormat="false" ht="13.5" hidden="false" customHeight="true" outlineLevel="0" collapsed="false">
      <c r="A26" s="5"/>
      <c r="B26" s="5"/>
      <c r="C26" s="5"/>
      <c r="D26" s="5"/>
      <c r="E26" s="5"/>
      <c r="F26" s="5"/>
      <c r="G26" s="5"/>
      <c r="H26" s="5"/>
      <c r="I26" s="5"/>
      <c r="J26" s="36" t="s">
        <v>2304</v>
      </c>
      <c r="K26" s="36" t="n">
        <v>1</v>
      </c>
      <c r="L26" s="36" t="n">
        <v>1</v>
      </c>
      <c r="M26" s="36" t="n">
        <v>1.1</v>
      </c>
      <c r="N26" s="36" t="n">
        <v>1</v>
      </c>
      <c r="O26" s="36" t="n">
        <v>1.1</v>
      </c>
      <c r="P26" s="36" t="n">
        <v>1</v>
      </c>
      <c r="Q26" s="36" t="n">
        <v>1</v>
      </c>
      <c r="R26" s="5"/>
      <c r="S26" s="5"/>
    </row>
    <row r="27" customFormat="false" ht="14.25" hidden="false" customHeight="true" outlineLevel="0" collapsed="false">
      <c r="A27" s="37" t="s">
        <v>2305</v>
      </c>
      <c r="B27" s="5"/>
      <c r="C27" s="5"/>
      <c r="D27" s="5"/>
      <c r="E27" s="5"/>
      <c r="F27" s="5"/>
      <c r="G27" s="5"/>
      <c r="H27" s="5"/>
      <c r="I27" s="5"/>
      <c r="J27" s="36" t="s">
        <v>2306</v>
      </c>
      <c r="K27" s="36" t="n">
        <f aca="false">K$21*K$26/SUMPRODUCT($K$21:$Q$21,$K$26:$Q$26)</f>
        <v>0.138888888888889</v>
      </c>
      <c r="L27" s="36" t="n">
        <f aca="false">L$21*L$26/SUMPRODUCT($K$21:$Q$21,$K$26:$Q$26)</f>
        <v>0.138888888888889</v>
      </c>
      <c r="M27" s="36" t="n">
        <f aca="false">M$21*M$26/SUMPRODUCT($K$21:$Q$21,$K$26:$Q$26)</f>
        <v>0.152777777777778</v>
      </c>
      <c r="N27" s="36" t="n">
        <f aca="false">N$21*N$26/SUMPRODUCT($K$21:$Q$21,$K$26:$Q$26)</f>
        <v>0.138888888888889</v>
      </c>
      <c r="O27" s="36" t="n">
        <f aca="false">O$21*O$26/SUMPRODUCT($K$21:$Q$21,$K$26:$Q$26)</f>
        <v>0.152777777777778</v>
      </c>
      <c r="P27" s="36" t="n">
        <f aca="false">P$21*P$26/SUMPRODUCT($K$21:$Q$21,$K$26:$Q$26)</f>
        <v>0.138888888888889</v>
      </c>
      <c r="Q27" s="36" t="n">
        <f aca="false">Q$21*Q$26/SUMPRODUCT($K$21:$Q$21,$K$26:$Q$26)</f>
        <v>0.138888888888889</v>
      </c>
      <c r="R27" s="5"/>
      <c r="S27" s="5"/>
    </row>
    <row r="28" customFormat="false" ht="14.25" hidden="false" customHeight="true" outlineLevel="0" collapsed="false">
      <c r="A28" s="36" t="s">
        <v>2307</v>
      </c>
      <c r="B28" s="5"/>
      <c r="C28" s="5"/>
      <c r="D28" s="5"/>
      <c r="E28" s="5"/>
      <c r="F28" s="5"/>
      <c r="G28" s="5"/>
      <c r="H28" s="5"/>
      <c r="I28" s="5"/>
      <c r="J28" s="5"/>
      <c r="K28" s="5"/>
      <c r="L28" s="5"/>
      <c r="M28" s="5"/>
      <c r="N28" s="5"/>
      <c r="O28" s="5"/>
      <c r="P28" s="5"/>
      <c r="Q28" s="5"/>
      <c r="R28" s="5"/>
      <c r="S28" s="5"/>
    </row>
    <row r="29" customFormat="false" ht="14.25" hidden="false" customHeight="true" outlineLevel="0" collapsed="false">
      <c r="A29" s="36" t="s">
        <v>2308</v>
      </c>
      <c r="B29" s="5"/>
      <c r="C29" s="5"/>
      <c r="D29" s="5"/>
      <c r="E29" s="5"/>
      <c r="F29" s="5"/>
      <c r="G29" s="5"/>
      <c r="H29" s="5"/>
      <c r="I29" s="5"/>
      <c r="J29" s="36" t="s">
        <v>2309</v>
      </c>
      <c r="K29" s="5"/>
      <c r="L29" s="5"/>
      <c r="M29" s="5"/>
      <c r="N29" s="5"/>
      <c r="O29" s="5"/>
      <c r="P29" s="5"/>
      <c r="Q29" s="5"/>
      <c r="R29" s="5"/>
      <c r="S29" s="5"/>
    </row>
    <row r="30" customFormat="false" ht="14.25" hidden="false" customHeight="true" outlineLevel="0" collapsed="false">
      <c r="A30" s="5"/>
      <c r="B30" s="5"/>
      <c r="C30" s="5"/>
      <c r="D30" s="5"/>
      <c r="E30" s="5"/>
      <c r="F30" s="5"/>
      <c r="G30" s="5"/>
      <c r="H30" s="5"/>
      <c r="I30" s="36" t="s">
        <v>760</v>
      </c>
      <c r="J30" s="40" t="n">
        <f aca="false">Parameters!$B$38</f>
        <v>0.75</v>
      </c>
      <c r="K30" s="36" t="n">
        <f aca="false">$J30*K$23</f>
        <v>0.116197183098592</v>
      </c>
      <c r="L30" s="36" t="n">
        <f aca="false">$J30*L$23</f>
        <v>0.105633802816901</v>
      </c>
      <c r="M30" s="36" t="n">
        <f aca="false">$J30*M$23</f>
        <v>0.105633802816901</v>
      </c>
      <c r="N30" s="36" t="n">
        <f aca="false">$J30*N$23</f>
        <v>0.105633802816901</v>
      </c>
      <c r="O30" s="36" t="n">
        <f aca="false">$J30*O$23</f>
        <v>0.105633802816901</v>
      </c>
      <c r="P30" s="36" t="n">
        <f aca="false">$J30*P$23</f>
        <v>0.105633802816901</v>
      </c>
      <c r="Q30" s="36" t="n">
        <f aca="false">$J30*Q$23</f>
        <v>0.105633802816901</v>
      </c>
      <c r="R30" s="5"/>
      <c r="S30" s="5"/>
    </row>
    <row r="31" customFormat="false" ht="13.5" hidden="false" customHeight="true" outlineLevel="0" collapsed="false">
      <c r="A31" s="5"/>
      <c r="B31" s="5"/>
      <c r="C31" s="5"/>
      <c r="D31" s="5"/>
      <c r="E31" s="5"/>
      <c r="F31" s="5"/>
      <c r="G31" s="5"/>
      <c r="H31" s="5"/>
      <c r="I31" s="36" t="s">
        <v>762</v>
      </c>
      <c r="J31" s="40" t="n">
        <f aca="false">Parameters!$B$39</f>
        <v>1.25</v>
      </c>
      <c r="K31" s="36" t="n">
        <f aca="false">$J31*K$23</f>
        <v>0.193661971830986</v>
      </c>
      <c r="L31" s="36" t="n">
        <f aca="false">$J31*L$23</f>
        <v>0.176056338028169</v>
      </c>
      <c r="M31" s="36" t="n">
        <f aca="false">$J31*M$23</f>
        <v>0.176056338028169</v>
      </c>
      <c r="N31" s="36" t="n">
        <f aca="false">$J31*N$23</f>
        <v>0.176056338028169</v>
      </c>
      <c r="O31" s="36" t="n">
        <f aca="false">$J31*O$23</f>
        <v>0.176056338028169</v>
      </c>
      <c r="P31" s="36" t="n">
        <f aca="false">$J31*P$23</f>
        <v>0.176056338028169</v>
      </c>
      <c r="Q31" s="36" t="n">
        <f aca="false">$J31*Q$23</f>
        <v>0.176056338028169</v>
      </c>
      <c r="R31" s="5"/>
      <c r="S31" s="5"/>
    </row>
    <row r="32" customFormat="false" ht="14.25" hidden="false" customHeight="true" outlineLevel="0" collapsed="false">
      <c r="A32" s="37" t="s">
        <v>2310</v>
      </c>
      <c r="B32" s="5"/>
      <c r="C32" s="5"/>
      <c r="D32" s="5"/>
      <c r="E32" s="5"/>
      <c r="F32" s="5"/>
      <c r="G32" s="5"/>
      <c r="H32" s="5"/>
      <c r="I32" s="36" t="s">
        <v>763</v>
      </c>
      <c r="J32" s="40" t="n">
        <f aca="false">Parameters!$B$40</f>
        <v>0.083</v>
      </c>
      <c r="K32" s="36" t="n">
        <f aca="false">$J32*K$23</f>
        <v>0.0128591549295775</v>
      </c>
      <c r="L32" s="36" t="n">
        <f aca="false">$J32*L$23</f>
        <v>0.0116901408450704</v>
      </c>
      <c r="M32" s="36" t="n">
        <f aca="false">$J32*M$23</f>
        <v>0.0116901408450704</v>
      </c>
      <c r="N32" s="36" t="n">
        <f aca="false">$J32*N$23</f>
        <v>0.0116901408450704</v>
      </c>
      <c r="O32" s="36" t="n">
        <f aca="false">$J32*O$23</f>
        <v>0.0116901408450704</v>
      </c>
      <c r="P32" s="36" t="n">
        <f aca="false">$J32*P$23</f>
        <v>0.0116901408450704</v>
      </c>
      <c r="Q32" s="36" t="n">
        <f aca="false">$J32*Q$23</f>
        <v>0.0116901408450704</v>
      </c>
      <c r="R32" s="5"/>
      <c r="S32" s="5"/>
    </row>
    <row r="33" customFormat="false" ht="14.25" hidden="false" customHeight="true" outlineLevel="0" collapsed="false">
      <c r="A33" s="65" t="s">
        <v>2311</v>
      </c>
      <c r="B33" s="65"/>
      <c r="C33" s="65"/>
      <c r="D33" s="65"/>
      <c r="E33" s="65"/>
      <c r="F33" s="5"/>
      <c r="G33" s="5"/>
      <c r="H33" s="5"/>
      <c r="I33" s="36" t="s">
        <v>764</v>
      </c>
      <c r="J33" s="40" t="n">
        <f aca="false">Parameters!$B$41</f>
        <v>0.116666666666667</v>
      </c>
      <c r="K33" s="36" t="n">
        <f aca="false">$J33*K$23</f>
        <v>0.018075117370892</v>
      </c>
      <c r="L33" s="36" t="n">
        <f aca="false">$J33*L$23</f>
        <v>0.0164319248826291</v>
      </c>
      <c r="M33" s="36" t="n">
        <f aca="false">$J33*M$23</f>
        <v>0.0164319248826291</v>
      </c>
      <c r="N33" s="36" t="n">
        <f aca="false">$J33*N$23</f>
        <v>0.0164319248826291</v>
      </c>
      <c r="O33" s="36" t="n">
        <f aca="false">$J33*O$23</f>
        <v>0.0164319248826291</v>
      </c>
      <c r="P33" s="36" t="n">
        <f aca="false">$J33*P$23</f>
        <v>0.0164319248826291</v>
      </c>
      <c r="Q33" s="36" t="n">
        <f aca="false">$J33*Q$23</f>
        <v>0.0164319248826291</v>
      </c>
      <c r="R33" s="5"/>
      <c r="S33" s="5"/>
    </row>
    <row r="34" customFormat="false" ht="14.25" hidden="false" customHeight="true" outlineLevel="0" collapsed="false">
      <c r="A34" s="36" t="s">
        <v>2312</v>
      </c>
      <c r="B34" s="36" t="n">
        <f aca="false">SUMPRODUCT(I_prop!$B$7:$H$13,$K$30:$Q$36)</f>
        <v>0.0478522838177644</v>
      </c>
      <c r="C34" s="36" t="n">
        <f aca="false">SUMPRODUCT(I_prop!$B$18:$H$24,$K$30:$Q$36)</f>
        <v>-0.00754614196350246</v>
      </c>
      <c r="D34" s="36" t="str">
        <f aca="false">IF(B34&gt;=C34,"A","B")</f>
        <v>A</v>
      </c>
      <c r="E34" s="36" t="n">
        <f aca="false">B34-C34</f>
        <v>0.0553984257812668</v>
      </c>
      <c r="F34" s="5"/>
      <c r="G34" s="5"/>
      <c r="H34" s="5"/>
      <c r="I34" s="36" t="s">
        <v>765</v>
      </c>
      <c r="J34" s="40" t="n">
        <f aca="false">Parameters!$B$42</f>
        <v>0.0913333333333333</v>
      </c>
      <c r="K34" s="36" t="n">
        <f aca="false">$J34*K$23</f>
        <v>0.014150234741784</v>
      </c>
      <c r="L34" s="36" t="n">
        <f aca="false">$J34*L$23</f>
        <v>0.0128638497652582</v>
      </c>
      <c r="M34" s="36" t="n">
        <f aca="false">$J34*M$23</f>
        <v>0.0128638497652582</v>
      </c>
      <c r="N34" s="36" t="n">
        <f aca="false">$J34*N$23</f>
        <v>0.0128638497652582</v>
      </c>
      <c r="O34" s="36" t="n">
        <f aca="false">$J34*O$23</f>
        <v>0.0128638497652582</v>
      </c>
      <c r="P34" s="36" t="n">
        <f aca="false">$J34*P$23</f>
        <v>0.0128638497652582</v>
      </c>
      <c r="Q34" s="36" t="n">
        <f aca="false">$J34*Q$23</f>
        <v>0.0128638497652582</v>
      </c>
      <c r="R34" s="5"/>
      <c r="S34" s="5"/>
    </row>
    <row r="35" customFormat="false" ht="14.25" hidden="false" customHeight="true" outlineLevel="0" collapsed="false">
      <c r="A35" s="36" t="s">
        <v>2313</v>
      </c>
      <c r="B35" s="36" t="n">
        <f aca="false">SUMPRODUCT(I_prop!$B$7:$H$13,$K$40:$Q$46)</f>
        <v>0.0472253789954229</v>
      </c>
      <c r="C35" s="36" t="n">
        <f aca="false">SUMPRODUCT(I_prop!$B$18:$H$24,$K$40:$Q$46)</f>
        <v>-0.00726777816743537</v>
      </c>
      <c r="D35" s="36" t="str">
        <f aca="false">IF(B35&gt;=C35,"A","B")</f>
        <v>A</v>
      </c>
      <c r="E35" s="36" t="n">
        <f aca="false">B35-C35</f>
        <v>0.0544931571628583</v>
      </c>
      <c r="F35" s="5"/>
      <c r="G35" s="5"/>
      <c r="H35" s="5"/>
      <c r="I35" s="36" t="s">
        <v>766</v>
      </c>
      <c r="J35" s="40" t="n">
        <f aca="false">Parameters!$B$43</f>
        <v>0.1034</v>
      </c>
      <c r="K35" s="36" t="n">
        <f aca="false">$J35*K$23</f>
        <v>0.0160197183098592</v>
      </c>
      <c r="L35" s="36" t="n">
        <f aca="false">$J35*L$23</f>
        <v>0.0145633802816901</v>
      </c>
      <c r="M35" s="36" t="n">
        <f aca="false">$J35*M$23</f>
        <v>0.0145633802816901</v>
      </c>
      <c r="N35" s="36" t="n">
        <f aca="false">$J35*N$23</f>
        <v>0.0145633802816901</v>
      </c>
      <c r="O35" s="36" t="n">
        <f aca="false">$J35*O$23</f>
        <v>0.0145633802816901</v>
      </c>
      <c r="P35" s="36" t="n">
        <f aca="false">$J35*P$23</f>
        <v>0.0145633802816901</v>
      </c>
      <c r="Q35" s="36" t="n">
        <f aca="false">$J35*Q$23</f>
        <v>0.0145633802816901</v>
      </c>
      <c r="R35" s="5"/>
      <c r="S35" s="5"/>
    </row>
    <row r="36" customFormat="false" ht="13.5" hidden="false" customHeight="true" outlineLevel="0" collapsed="false">
      <c r="A36" s="36" t="s">
        <v>2314</v>
      </c>
      <c r="B36" s="36" t="n">
        <f aca="false">SUMPRODUCT(I_prop!$B$7:$H$13,$K$50:$Q$56)</f>
        <v>0.0490484891760898</v>
      </c>
      <c r="C36" s="36" t="n">
        <f aca="false">SUMPRODUCT(I_prop!$B$18:$H$24,$K$50:$Q$56)</f>
        <v>-0.00756406030026635</v>
      </c>
      <c r="D36" s="36" t="str">
        <f aca="false">IF(B36&gt;=C36,"A","B")</f>
        <v>A</v>
      </c>
      <c r="E36" s="36" t="n">
        <f aca="false">B36-C36</f>
        <v>0.0566125494763561</v>
      </c>
      <c r="F36" s="5"/>
      <c r="G36" s="5"/>
      <c r="H36" s="5"/>
      <c r="I36" s="36" t="s">
        <v>768</v>
      </c>
      <c r="J36" s="40" t="n">
        <f aca="false">Parameters!$B$44</f>
        <v>0.102266666666667</v>
      </c>
      <c r="K36" s="36" t="n">
        <f aca="false">$J36*K$23</f>
        <v>0.0158441314553991</v>
      </c>
      <c r="L36" s="36" t="n">
        <f aca="false">$J36*L$23</f>
        <v>0.0144037558685446</v>
      </c>
      <c r="M36" s="36" t="n">
        <f aca="false">$J36*M$23</f>
        <v>0.0144037558685446</v>
      </c>
      <c r="N36" s="36" t="n">
        <f aca="false">$J36*N$23</f>
        <v>0.0144037558685446</v>
      </c>
      <c r="O36" s="36" t="n">
        <f aca="false">$J36*O$23</f>
        <v>0.0144037558685446</v>
      </c>
      <c r="P36" s="36" t="n">
        <f aca="false">$J36*P$23</f>
        <v>0.0144037558685446</v>
      </c>
      <c r="Q36" s="36" t="n">
        <f aca="false">$J36*Q$23</f>
        <v>0.0144037558685446</v>
      </c>
      <c r="R36" s="5"/>
      <c r="S36" s="5"/>
    </row>
    <row r="37" customFormat="false" ht="14.25" hidden="false" customHeight="true" outlineLevel="0" collapsed="false">
      <c r="A37" s="68" t="s">
        <v>2315</v>
      </c>
      <c r="B37" s="5"/>
      <c r="C37" s="5"/>
      <c r="D37" s="5"/>
      <c r="E37" s="5"/>
      <c r="F37" s="5"/>
      <c r="G37" s="5"/>
      <c r="H37" s="5"/>
      <c r="I37" s="5"/>
      <c r="J37" s="5"/>
      <c r="K37" s="5"/>
      <c r="L37" s="5"/>
      <c r="M37" s="5"/>
      <c r="N37" s="5"/>
      <c r="O37" s="5"/>
      <c r="P37" s="5"/>
      <c r="Q37" s="5"/>
      <c r="R37" s="5"/>
      <c r="S37" s="5"/>
    </row>
    <row r="38" customFormat="false" ht="13.5" hidden="false" customHeight="true" outlineLevel="0" collapsed="false">
      <c r="A38" s="5"/>
      <c r="B38" s="5"/>
      <c r="C38" s="5"/>
      <c r="D38" s="5"/>
      <c r="E38" s="5"/>
      <c r="F38" s="5"/>
      <c r="G38" s="5"/>
      <c r="H38" s="5"/>
      <c r="I38" s="5"/>
      <c r="J38" s="5"/>
      <c r="K38" s="5"/>
      <c r="L38" s="5"/>
      <c r="M38" s="5"/>
      <c r="N38" s="5"/>
      <c r="O38" s="5"/>
      <c r="P38" s="5"/>
      <c r="Q38" s="5"/>
      <c r="R38" s="5"/>
      <c r="S38" s="5"/>
    </row>
    <row r="39" customFormat="false" ht="13.5" hidden="false" customHeight="true" outlineLevel="0" collapsed="false">
      <c r="A39" s="5"/>
      <c r="B39" s="5"/>
      <c r="C39" s="5"/>
      <c r="D39" s="5"/>
      <c r="E39" s="5"/>
      <c r="F39" s="5"/>
      <c r="G39" s="5"/>
      <c r="H39" s="5"/>
      <c r="I39" s="5"/>
      <c r="J39" s="5"/>
      <c r="K39" s="5"/>
      <c r="L39" s="5"/>
      <c r="M39" s="5"/>
      <c r="N39" s="5"/>
      <c r="O39" s="5"/>
      <c r="P39" s="5"/>
      <c r="Q39" s="5"/>
      <c r="R39" s="5"/>
      <c r="S39" s="5"/>
    </row>
    <row r="40" customFormat="false" ht="13.5" hidden="false" customHeight="true" outlineLevel="0" collapsed="false">
      <c r="A40" s="5"/>
      <c r="B40" s="5"/>
      <c r="C40" s="5"/>
      <c r="D40" s="5"/>
      <c r="E40" s="5"/>
      <c r="F40" s="5"/>
      <c r="G40" s="5"/>
      <c r="H40" s="5"/>
      <c r="I40" s="36" t="s">
        <v>760</v>
      </c>
      <c r="J40" s="40" t="n">
        <f aca="false">Parameters!$B$38</f>
        <v>0.75</v>
      </c>
      <c r="K40" s="36" t="n">
        <f aca="false">$J40*K$25</f>
        <v>0.105633802816901</v>
      </c>
      <c r="L40" s="36" t="n">
        <f aca="false">$J40*L$25</f>
        <v>0.105633802816901</v>
      </c>
      <c r="M40" s="36" t="n">
        <f aca="false">$J40*M$25</f>
        <v>0.105633802816901</v>
      </c>
      <c r="N40" s="36" t="n">
        <f aca="false">$J40*N$25</f>
        <v>0.105633802816901</v>
      </c>
      <c r="O40" s="36" t="n">
        <f aca="false">$J40*O$25</f>
        <v>0.105633802816901</v>
      </c>
      <c r="P40" s="36" t="n">
        <f aca="false">$J40*P$25</f>
        <v>0.105633802816901</v>
      </c>
      <c r="Q40" s="36" t="n">
        <f aca="false">$J40*Q$25</f>
        <v>0.116197183098592</v>
      </c>
      <c r="R40" s="5"/>
      <c r="S40" s="5"/>
    </row>
    <row r="41" customFormat="false" ht="13.5" hidden="false" customHeight="true" outlineLevel="0" collapsed="false">
      <c r="A41" s="5"/>
      <c r="B41" s="5"/>
      <c r="C41" s="5"/>
      <c r="D41" s="5"/>
      <c r="E41" s="5"/>
      <c r="F41" s="5"/>
      <c r="G41" s="5"/>
      <c r="H41" s="5"/>
      <c r="I41" s="36" t="s">
        <v>762</v>
      </c>
      <c r="J41" s="40" t="n">
        <f aca="false">Parameters!$B$39</f>
        <v>1.25</v>
      </c>
      <c r="K41" s="36" t="n">
        <f aca="false">$J41*K$25</f>
        <v>0.176056338028169</v>
      </c>
      <c r="L41" s="36" t="n">
        <f aca="false">$J41*L$25</f>
        <v>0.176056338028169</v>
      </c>
      <c r="M41" s="36" t="n">
        <f aca="false">$J41*M$25</f>
        <v>0.176056338028169</v>
      </c>
      <c r="N41" s="36" t="n">
        <f aca="false">$J41*N$25</f>
        <v>0.176056338028169</v>
      </c>
      <c r="O41" s="36" t="n">
        <f aca="false">$J41*O$25</f>
        <v>0.176056338028169</v>
      </c>
      <c r="P41" s="36" t="n">
        <f aca="false">$J41*P$25</f>
        <v>0.176056338028169</v>
      </c>
      <c r="Q41" s="36" t="n">
        <f aca="false">$J41*Q$25</f>
        <v>0.193661971830986</v>
      </c>
      <c r="R41" s="5"/>
      <c r="S41" s="5"/>
    </row>
    <row r="42" customFormat="false" ht="13.5" hidden="false" customHeight="true" outlineLevel="0" collapsed="false">
      <c r="A42" s="5"/>
      <c r="B42" s="5"/>
      <c r="C42" s="5"/>
      <c r="D42" s="5"/>
      <c r="E42" s="5"/>
      <c r="F42" s="5"/>
      <c r="G42" s="5"/>
      <c r="H42" s="5"/>
      <c r="I42" s="36" t="s">
        <v>763</v>
      </c>
      <c r="J42" s="40" t="n">
        <f aca="false">Parameters!$B$40</f>
        <v>0.083</v>
      </c>
      <c r="K42" s="36" t="n">
        <f aca="false">$J42*K$25</f>
        <v>0.0116901408450704</v>
      </c>
      <c r="L42" s="36" t="n">
        <f aca="false">$J42*L$25</f>
        <v>0.0116901408450704</v>
      </c>
      <c r="M42" s="36" t="n">
        <f aca="false">$J42*M$25</f>
        <v>0.0116901408450704</v>
      </c>
      <c r="N42" s="36" t="n">
        <f aca="false">$J42*N$25</f>
        <v>0.0116901408450704</v>
      </c>
      <c r="O42" s="36" t="n">
        <f aca="false">$J42*O$25</f>
        <v>0.0116901408450704</v>
      </c>
      <c r="P42" s="36" t="n">
        <f aca="false">$J42*P$25</f>
        <v>0.0116901408450704</v>
      </c>
      <c r="Q42" s="36" t="n">
        <f aca="false">$J42*Q$25</f>
        <v>0.0128591549295775</v>
      </c>
      <c r="R42" s="5"/>
      <c r="S42" s="5"/>
    </row>
    <row r="43" customFormat="false" ht="13.5" hidden="false" customHeight="true" outlineLevel="0" collapsed="false">
      <c r="A43" s="5"/>
      <c r="B43" s="5"/>
      <c r="C43" s="5"/>
      <c r="D43" s="5"/>
      <c r="E43" s="5"/>
      <c r="F43" s="5"/>
      <c r="G43" s="5"/>
      <c r="H43" s="5"/>
      <c r="I43" s="36" t="s">
        <v>764</v>
      </c>
      <c r="J43" s="40" t="n">
        <f aca="false">Parameters!$B$41</f>
        <v>0.116666666666667</v>
      </c>
      <c r="K43" s="36" t="n">
        <f aca="false">$J43*K$25</f>
        <v>0.0164319248826291</v>
      </c>
      <c r="L43" s="36" t="n">
        <f aca="false">$J43*L$25</f>
        <v>0.0164319248826291</v>
      </c>
      <c r="M43" s="36" t="n">
        <f aca="false">$J43*M$25</f>
        <v>0.0164319248826291</v>
      </c>
      <c r="N43" s="36" t="n">
        <f aca="false">$J43*N$25</f>
        <v>0.0164319248826291</v>
      </c>
      <c r="O43" s="36" t="n">
        <f aca="false">$J43*O$25</f>
        <v>0.0164319248826291</v>
      </c>
      <c r="P43" s="36" t="n">
        <f aca="false">$J43*P$25</f>
        <v>0.0164319248826291</v>
      </c>
      <c r="Q43" s="36" t="n">
        <f aca="false">$J43*Q$25</f>
        <v>0.018075117370892</v>
      </c>
      <c r="R43" s="5"/>
      <c r="S43" s="5"/>
    </row>
    <row r="44" customFormat="false" ht="13.5" hidden="false" customHeight="true" outlineLevel="0" collapsed="false">
      <c r="A44" s="5"/>
      <c r="B44" s="5"/>
      <c r="C44" s="5"/>
      <c r="D44" s="5"/>
      <c r="E44" s="5"/>
      <c r="F44" s="5"/>
      <c r="G44" s="5"/>
      <c r="H44" s="5"/>
      <c r="I44" s="36" t="s">
        <v>765</v>
      </c>
      <c r="J44" s="40" t="n">
        <f aca="false">Parameters!$B$42</f>
        <v>0.0913333333333333</v>
      </c>
      <c r="K44" s="36" t="n">
        <f aca="false">$J44*K$25</f>
        <v>0.0128638497652582</v>
      </c>
      <c r="L44" s="36" t="n">
        <f aca="false">$J44*L$25</f>
        <v>0.0128638497652582</v>
      </c>
      <c r="M44" s="36" t="n">
        <f aca="false">$J44*M$25</f>
        <v>0.0128638497652582</v>
      </c>
      <c r="N44" s="36" t="n">
        <f aca="false">$J44*N$25</f>
        <v>0.0128638497652582</v>
      </c>
      <c r="O44" s="36" t="n">
        <f aca="false">$J44*O$25</f>
        <v>0.0128638497652582</v>
      </c>
      <c r="P44" s="36" t="n">
        <f aca="false">$J44*P$25</f>
        <v>0.0128638497652582</v>
      </c>
      <c r="Q44" s="36" t="n">
        <f aca="false">$J44*Q$25</f>
        <v>0.014150234741784</v>
      </c>
      <c r="R44" s="5"/>
      <c r="S44" s="5"/>
    </row>
    <row r="45" customFormat="false" ht="13.5" hidden="false" customHeight="true" outlineLevel="0" collapsed="false">
      <c r="A45" s="5"/>
      <c r="B45" s="5"/>
      <c r="C45" s="5"/>
      <c r="D45" s="5"/>
      <c r="E45" s="5"/>
      <c r="F45" s="5"/>
      <c r="G45" s="5"/>
      <c r="H45" s="5"/>
      <c r="I45" s="36" t="s">
        <v>766</v>
      </c>
      <c r="J45" s="40" t="n">
        <f aca="false">Parameters!$B$43</f>
        <v>0.1034</v>
      </c>
      <c r="K45" s="36" t="n">
        <f aca="false">$J45*K$25</f>
        <v>0.0145633802816901</v>
      </c>
      <c r="L45" s="36" t="n">
        <f aca="false">$J45*L$25</f>
        <v>0.0145633802816901</v>
      </c>
      <c r="M45" s="36" t="n">
        <f aca="false">$J45*M$25</f>
        <v>0.0145633802816901</v>
      </c>
      <c r="N45" s="36" t="n">
        <f aca="false">$J45*N$25</f>
        <v>0.0145633802816901</v>
      </c>
      <c r="O45" s="36" t="n">
        <f aca="false">$J45*O$25</f>
        <v>0.0145633802816901</v>
      </c>
      <c r="P45" s="36" t="n">
        <f aca="false">$J45*P$25</f>
        <v>0.0145633802816901</v>
      </c>
      <c r="Q45" s="36" t="n">
        <f aca="false">$J45*Q$25</f>
        <v>0.0160197183098592</v>
      </c>
      <c r="R45" s="5"/>
      <c r="S45" s="5"/>
    </row>
    <row r="46" customFormat="false" ht="13.5" hidden="false" customHeight="true" outlineLevel="0" collapsed="false">
      <c r="A46" s="5"/>
      <c r="B46" s="5"/>
      <c r="C46" s="5"/>
      <c r="D46" s="5"/>
      <c r="E46" s="5"/>
      <c r="F46" s="5"/>
      <c r="G46" s="5"/>
      <c r="H46" s="5"/>
      <c r="I46" s="36" t="s">
        <v>768</v>
      </c>
      <c r="J46" s="40" t="n">
        <f aca="false">Parameters!$B$44</f>
        <v>0.102266666666667</v>
      </c>
      <c r="K46" s="36" t="n">
        <f aca="false">$J46*K$25</f>
        <v>0.0144037558685446</v>
      </c>
      <c r="L46" s="36" t="n">
        <f aca="false">$J46*L$25</f>
        <v>0.0144037558685446</v>
      </c>
      <c r="M46" s="36" t="n">
        <f aca="false">$J46*M$25</f>
        <v>0.0144037558685446</v>
      </c>
      <c r="N46" s="36" t="n">
        <f aca="false">$J46*N$25</f>
        <v>0.0144037558685446</v>
      </c>
      <c r="O46" s="36" t="n">
        <f aca="false">$J46*O$25</f>
        <v>0.0144037558685446</v>
      </c>
      <c r="P46" s="36" t="n">
        <f aca="false">$J46*P$25</f>
        <v>0.0144037558685446</v>
      </c>
      <c r="Q46" s="36" t="n">
        <f aca="false">$J46*Q$25</f>
        <v>0.0158441314553991</v>
      </c>
      <c r="R46" s="5"/>
      <c r="S46" s="5"/>
    </row>
    <row r="47" customFormat="false" ht="13.5" hidden="false" customHeight="true" outlineLevel="0" collapsed="false">
      <c r="A47" s="5"/>
      <c r="B47" s="5"/>
      <c r="C47" s="5"/>
      <c r="D47" s="5"/>
      <c r="E47" s="5"/>
      <c r="F47" s="5"/>
      <c r="G47" s="5"/>
      <c r="H47" s="5"/>
      <c r="I47" s="5"/>
      <c r="J47" s="5"/>
      <c r="K47" s="5"/>
      <c r="L47" s="5"/>
      <c r="M47" s="5"/>
      <c r="N47" s="5"/>
      <c r="O47" s="5"/>
      <c r="P47" s="5"/>
      <c r="Q47" s="5"/>
      <c r="R47" s="5"/>
      <c r="S47" s="5"/>
    </row>
    <row r="48" customFormat="false" ht="13.5" hidden="false" customHeight="true" outlineLevel="0" collapsed="false">
      <c r="A48" s="5"/>
      <c r="B48" s="5"/>
      <c r="C48" s="5"/>
      <c r="D48" s="5"/>
      <c r="E48" s="5"/>
      <c r="F48" s="5"/>
      <c r="G48" s="5"/>
      <c r="H48" s="5"/>
      <c r="I48" s="5"/>
      <c r="J48" s="5"/>
      <c r="K48" s="5"/>
      <c r="L48" s="5"/>
      <c r="M48" s="5"/>
      <c r="N48" s="5"/>
      <c r="O48" s="5"/>
      <c r="P48" s="5"/>
      <c r="Q48" s="5"/>
      <c r="R48" s="5"/>
      <c r="S48" s="5"/>
    </row>
    <row r="49" customFormat="false" ht="13.5" hidden="false" customHeight="true" outlineLevel="0" collapsed="false">
      <c r="A49" s="5"/>
      <c r="B49" s="5"/>
      <c r="C49" s="5"/>
      <c r="D49" s="5"/>
      <c r="E49" s="5"/>
      <c r="F49" s="5"/>
      <c r="G49" s="5"/>
      <c r="H49" s="5"/>
      <c r="I49" s="5"/>
      <c r="J49" s="5"/>
      <c r="K49" s="5"/>
      <c r="L49" s="5"/>
      <c r="M49" s="5"/>
      <c r="N49" s="5"/>
      <c r="O49" s="5"/>
      <c r="P49" s="5"/>
      <c r="Q49" s="5"/>
      <c r="R49" s="5"/>
      <c r="S49" s="5"/>
    </row>
    <row r="50" customFormat="false" ht="13.5" hidden="false" customHeight="true" outlineLevel="0" collapsed="false">
      <c r="A50" s="5"/>
      <c r="B50" s="5"/>
      <c r="C50" s="5"/>
      <c r="D50" s="5"/>
      <c r="E50" s="5"/>
      <c r="F50" s="5"/>
      <c r="G50" s="5"/>
      <c r="H50" s="5"/>
      <c r="I50" s="36" t="s">
        <v>760</v>
      </c>
      <c r="J50" s="40" t="n">
        <f aca="false">Parameters!$B$38</f>
        <v>0.75</v>
      </c>
      <c r="K50" s="36" t="n">
        <f aca="false">$J50*K$27</f>
        <v>0.104166666666667</v>
      </c>
      <c r="L50" s="36" t="n">
        <f aca="false">$J50*L$27</f>
        <v>0.104166666666667</v>
      </c>
      <c r="M50" s="36" t="n">
        <f aca="false">$J50*M$27</f>
        <v>0.114583333333333</v>
      </c>
      <c r="N50" s="36" t="n">
        <f aca="false">$J50*N$27</f>
        <v>0.104166666666667</v>
      </c>
      <c r="O50" s="36" t="n">
        <f aca="false">$J50*O$27</f>
        <v>0.114583333333333</v>
      </c>
      <c r="P50" s="36" t="n">
        <f aca="false">$J50*P$27</f>
        <v>0.104166666666667</v>
      </c>
      <c r="Q50" s="36" t="n">
        <f aca="false">$J50*Q$27</f>
        <v>0.104166666666667</v>
      </c>
      <c r="R50" s="5"/>
      <c r="S50" s="5"/>
    </row>
    <row r="51" customFormat="false" ht="13.5" hidden="false" customHeight="true" outlineLevel="0" collapsed="false">
      <c r="A51" s="5"/>
      <c r="B51" s="5"/>
      <c r="C51" s="5"/>
      <c r="D51" s="5"/>
      <c r="E51" s="5"/>
      <c r="F51" s="5"/>
      <c r="G51" s="5"/>
      <c r="H51" s="5"/>
      <c r="I51" s="36" t="s">
        <v>762</v>
      </c>
      <c r="J51" s="40" t="n">
        <f aca="false">Parameters!$B$39</f>
        <v>1.25</v>
      </c>
      <c r="K51" s="36" t="n">
        <f aca="false">$J51*K$27</f>
        <v>0.173611111111111</v>
      </c>
      <c r="L51" s="36" t="n">
        <f aca="false">$J51*L$27</f>
        <v>0.173611111111111</v>
      </c>
      <c r="M51" s="36" t="n">
        <f aca="false">$J51*M$27</f>
        <v>0.190972222222222</v>
      </c>
      <c r="N51" s="36" t="n">
        <f aca="false">$J51*N$27</f>
        <v>0.173611111111111</v>
      </c>
      <c r="O51" s="36" t="n">
        <f aca="false">$J51*O$27</f>
        <v>0.190972222222222</v>
      </c>
      <c r="P51" s="36" t="n">
        <f aca="false">$J51*P$27</f>
        <v>0.173611111111111</v>
      </c>
      <c r="Q51" s="36" t="n">
        <f aca="false">$J51*Q$27</f>
        <v>0.173611111111111</v>
      </c>
      <c r="R51" s="5"/>
      <c r="S51" s="5"/>
    </row>
    <row r="52" customFormat="false" ht="13.5" hidden="false" customHeight="true" outlineLevel="0" collapsed="false">
      <c r="A52" s="5"/>
      <c r="B52" s="5"/>
      <c r="C52" s="5"/>
      <c r="D52" s="5"/>
      <c r="E52" s="5"/>
      <c r="F52" s="5"/>
      <c r="G52" s="5"/>
      <c r="H52" s="5"/>
      <c r="I52" s="36" t="s">
        <v>763</v>
      </c>
      <c r="J52" s="40" t="n">
        <f aca="false">Parameters!$B$40</f>
        <v>0.083</v>
      </c>
      <c r="K52" s="36" t="n">
        <f aca="false">$J52*K$27</f>
        <v>0.0115277777777778</v>
      </c>
      <c r="L52" s="36" t="n">
        <f aca="false">$J52*L$27</f>
        <v>0.0115277777777778</v>
      </c>
      <c r="M52" s="36" t="n">
        <f aca="false">$J52*M$27</f>
        <v>0.0126805555555556</v>
      </c>
      <c r="N52" s="36" t="n">
        <f aca="false">$J52*N$27</f>
        <v>0.0115277777777778</v>
      </c>
      <c r="O52" s="36" t="n">
        <f aca="false">$J52*O$27</f>
        <v>0.0126805555555556</v>
      </c>
      <c r="P52" s="36" t="n">
        <f aca="false">$J52*P$27</f>
        <v>0.0115277777777778</v>
      </c>
      <c r="Q52" s="36" t="n">
        <f aca="false">$J52*Q$27</f>
        <v>0.0115277777777778</v>
      </c>
      <c r="R52" s="5"/>
      <c r="S52" s="5"/>
    </row>
    <row r="53" customFormat="false" ht="13.5" hidden="false" customHeight="true" outlineLevel="0" collapsed="false">
      <c r="A53" s="5"/>
      <c r="B53" s="5"/>
      <c r="C53" s="5"/>
      <c r="D53" s="5"/>
      <c r="E53" s="5"/>
      <c r="F53" s="5"/>
      <c r="G53" s="5"/>
      <c r="H53" s="5"/>
      <c r="I53" s="36" t="s">
        <v>764</v>
      </c>
      <c r="J53" s="40" t="n">
        <f aca="false">Parameters!$B$41</f>
        <v>0.116666666666667</v>
      </c>
      <c r="K53" s="36" t="n">
        <f aca="false">$J53*K$27</f>
        <v>0.0162037037037037</v>
      </c>
      <c r="L53" s="36" t="n">
        <f aca="false">$J53*L$27</f>
        <v>0.0162037037037037</v>
      </c>
      <c r="M53" s="36" t="n">
        <f aca="false">$J53*M$27</f>
        <v>0.0178240740740741</v>
      </c>
      <c r="N53" s="36" t="n">
        <f aca="false">$J53*N$27</f>
        <v>0.0162037037037037</v>
      </c>
      <c r="O53" s="36" t="n">
        <f aca="false">$J53*O$27</f>
        <v>0.0178240740740741</v>
      </c>
      <c r="P53" s="36" t="n">
        <f aca="false">$J53*P$27</f>
        <v>0.0162037037037037</v>
      </c>
      <c r="Q53" s="36" t="n">
        <f aca="false">$J53*Q$27</f>
        <v>0.0162037037037037</v>
      </c>
      <c r="R53" s="5"/>
      <c r="S53" s="5"/>
    </row>
    <row r="54" customFormat="false" ht="13.5" hidden="false" customHeight="true" outlineLevel="0" collapsed="false">
      <c r="A54" s="5"/>
      <c r="B54" s="5"/>
      <c r="C54" s="5"/>
      <c r="D54" s="5"/>
      <c r="E54" s="5"/>
      <c r="F54" s="5"/>
      <c r="G54" s="5"/>
      <c r="H54" s="5"/>
      <c r="I54" s="36" t="s">
        <v>765</v>
      </c>
      <c r="J54" s="40" t="n">
        <f aca="false">Parameters!$B$42</f>
        <v>0.0913333333333333</v>
      </c>
      <c r="K54" s="36" t="n">
        <f aca="false">$J54*K$27</f>
        <v>0.0126851851851852</v>
      </c>
      <c r="L54" s="36" t="n">
        <f aca="false">$J54*L$27</f>
        <v>0.0126851851851852</v>
      </c>
      <c r="M54" s="36" t="n">
        <f aca="false">$J54*M$27</f>
        <v>0.0139537037037037</v>
      </c>
      <c r="N54" s="36" t="n">
        <f aca="false">$J54*N$27</f>
        <v>0.0126851851851852</v>
      </c>
      <c r="O54" s="36" t="n">
        <f aca="false">$J54*O$27</f>
        <v>0.0139537037037037</v>
      </c>
      <c r="P54" s="36" t="n">
        <f aca="false">$J54*P$27</f>
        <v>0.0126851851851852</v>
      </c>
      <c r="Q54" s="36" t="n">
        <f aca="false">$J54*Q$27</f>
        <v>0.0126851851851852</v>
      </c>
      <c r="R54" s="5"/>
      <c r="S54" s="5"/>
    </row>
    <row r="55" customFormat="false" ht="13.5" hidden="false" customHeight="true" outlineLevel="0" collapsed="false">
      <c r="A55" s="5"/>
      <c r="B55" s="5"/>
      <c r="C55" s="5"/>
      <c r="D55" s="5"/>
      <c r="E55" s="5"/>
      <c r="F55" s="5"/>
      <c r="G55" s="5"/>
      <c r="H55" s="5"/>
      <c r="I55" s="36" t="s">
        <v>766</v>
      </c>
      <c r="J55" s="40" t="n">
        <f aca="false">Parameters!$B$43</f>
        <v>0.1034</v>
      </c>
      <c r="K55" s="36" t="n">
        <f aca="false">$J55*K$27</f>
        <v>0.0143611111111111</v>
      </c>
      <c r="L55" s="36" t="n">
        <f aca="false">$J55*L$27</f>
        <v>0.0143611111111111</v>
      </c>
      <c r="M55" s="36" t="n">
        <f aca="false">$J55*M$27</f>
        <v>0.0157972222222222</v>
      </c>
      <c r="N55" s="36" t="n">
        <f aca="false">$J55*N$27</f>
        <v>0.0143611111111111</v>
      </c>
      <c r="O55" s="36" t="n">
        <f aca="false">$J55*O$27</f>
        <v>0.0157972222222222</v>
      </c>
      <c r="P55" s="36" t="n">
        <f aca="false">$J55*P$27</f>
        <v>0.0143611111111111</v>
      </c>
      <c r="Q55" s="36" t="n">
        <f aca="false">$J55*Q$27</f>
        <v>0.0143611111111111</v>
      </c>
      <c r="R55" s="5"/>
      <c r="S55" s="5"/>
    </row>
    <row r="56" customFormat="false" ht="13.5" hidden="false" customHeight="true" outlineLevel="0" collapsed="false">
      <c r="A56" s="5"/>
      <c r="B56" s="5"/>
      <c r="C56" s="5"/>
      <c r="D56" s="5"/>
      <c r="E56" s="5"/>
      <c r="F56" s="5"/>
      <c r="G56" s="5"/>
      <c r="H56" s="5"/>
      <c r="I56" s="36" t="s">
        <v>768</v>
      </c>
      <c r="J56" s="40" t="n">
        <f aca="false">Parameters!$B$44</f>
        <v>0.102266666666667</v>
      </c>
      <c r="K56" s="36" t="n">
        <f aca="false">$J56*K$27</f>
        <v>0.0142037037037037</v>
      </c>
      <c r="L56" s="36" t="n">
        <f aca="false">$J56*L$27</f>
        <v>0.0142037037037037</v>
      </c>
      <c r="M56" s="36" t="n">
        <f aca="false">$J56*M$27</f>
        <v>0.0156240740740741</v>
      </c>
      <c r="N56" s="36" t="n">
        <f aca="false">$J56*N$27</f>
        <v>0.0142037037037037</v>
      </c>
      <c r="O56" s="36" t="n">
        <f aca="false">$J56*O$27</f>
        <v>0.0156240740740741</v>
      </c>
      <c r="P56" s="36" t="n">
        <f aca="false">$J56*P$27</f>
        <v>0.0142037037037037</v>
      </c>
      <c r="Q56" s="36" t="n">
        <f aca="false">$J56*Q$27</f>
        <v>0.0142037037037037</v>
      </c>
      <c r="R56" s="5"/>
      <c r="S56" s="5"/>
    </row>
    <row r="57" customFormat="false" ht="13.5" hidden="false" customHeight="true" outlineLevel="0" collapsed="false">
      <c r="A57" s="5"/>
      <c r="B57" s="5"/>
      <c r="C57" s="5"/>
      <c r="D57" s="5"/>
      <c r="E57" s="5"/>
      <c r="F57" s="5"/>
      <c r="G57" s="5"/>
      <c r="H57" s="5"/>
      <c r="I57" s="5"/>
      <c r="J57" s="5"/>
      <c r="K57" s="5"/>
      <c r="L57" s="5"/>
      <c r="M57" s="5"/>
      <c r="N57" s="5"/>
      <c r="O57" s="5"/>
      <c r="P57" s="5"/>
      <c r="Q57" s="5"/>
      <c r="R57" s="5"/>
      <c r="S57" s="5"/>
    </row>
    <row r="58" customFormat="false" ht="13.5" hidden="false" customHeight="true" outlineLevel="0" collapsed="false">
      <c r="A58" s="5"/>
      <c r="B58" s="5"/>
      <c r="C58" s="5"/>
      <c r="D58" s="5"/>
      <c r="E58" s="5"/>
      <c r="F58" s="5"/>
      <c r="G58" s="5"/>
      <c r="H58" s="5"/>
      <c r="I58" s="5"/>
      <c r="J58" s="5"/>
      <c r="K58" s="5"/>
      <c r="L58" s="5"/>
      <c r="M58" s="5"/>
      <c r="N58" s="5"/>
      <c r="O58" s="5"/>
      <c r="P58" s="5"/>
      <c r="Q58" s="5"/>
      <c r="R58" s="5"/>
      <c r="S58" s="5"/>
    </row>
    <row r="59" customFormat="false" ht="13.5" hidden="false" customHeight="true" outlineLevel="0" collapsed="false">
      <c r="A59" s="5"/>
      <c r="B59" s="5"/>
      <c r="C59" s="5"/>
      <c r="D59" s="5"/>
      <c r="E59" s="5"/>
      <c r="F59" s="5"/>
      <c r="G59" s="5"/>
      <c r="H59" s="5"/>
      <c r="I59" s="5"/>
      <c r="J59" s="5"/>
      <c r="K59" s="5"/>
      <c r="L59" s="5"/>
      <c r="M59" s="5"/>
      <c r="N59" s="5"/>
      <c r="O59" s="5"/>
      <c r="P59" s="5"/>
      <c r="Q59" s="5"/>
      <c r="R59" s="5"/>
      <c r="S59" s="5"/>
    </row>
    <row r="60" customFormat="false" ht="13.5" hidden="false" customHeight="true" outlineLevel="0" collapsed="false">
      <c r="A60" s="5"/>
      <c r="B60" s="5"/>
      <c r="C60" s="5"/>
      <c r="D60" s="5"/>
      <c r="E60" s="5"/>
      <c r="F60" s="5"/>
      <c r="G60" s="5"/>
      <c r="H60" s="5"/>
      <c r="I60" s="5"/>
      <c r="J60" s="5"/>
      <c r="K60" s="5"/>
      <c r="L60" s="5"/>
      <c r="M60" s="5"/>
      <c r="N60" s="5"/>
      <c r="O60" s="5"/>
      <c r="P60" s="5"/>
      <c r="Q60" s="5"/>
      <c r="R60" s="5"/>
      <c r="S60" s="5"/>
    </row>
    <row r="61" customFormat="false" ht="13.5" hidden="false" customHeight="true" outlineLevel="0" collapsed="false">
      <c r="A61" s="5"/>
      <c r="B61" s="5"/>
      <c r="C61" s="5"/>
      <c r="D61" s="5"/>
      <c r="E61" s="5"/>
      <c r="F61" s="5"/>
      <c r="G61" s="5"/>
      <c r="H61" s="5"/>
      <c r="I61" s="5"/>
      <c r="J61" s="5"/>
      <c r="K61" s="5"/>
      <c r="L61" s="5"/>
      <c r="M61" s="5"/>
      <c r="N61" s="5"/>
      <c r="O61" s="5"/>
      <c r="P61" s="5"/>
      <c r="Q61" s="5"/>
      <c r="R61" s="5"/>
      <c r="S61" s="5"/>
    </row>
    <row r="62" customFormat="false" ht="13.5" hidden="false" customHeight="true" outlineLevel="0" collapsed="false">
      <c r="A62" s="5"/>
      <c r="B62" s="5"/>
      <c r="C62" s="5"/>
      <c r="D62" s="5"/>
      <c r="E62" s="5"/>
      <c r="F62" s="5"/>
      <c r="G62" s="5"/>
      <c r="H62" s="5"/>
      <c r="I62" s="5"/>
      <c r="J62" s="5"/>
      <c r="K62" s="5"/>
      <c r="L62" s="5"/>
      <c r="M62" s="5"/>
      <c r="N62" s="5"/>
      <c r="O62" s="5"/>
      <c r="P62" s="5"/>
      <c r="Q62" s="5"/>
      <c r="R62" s="5"/>
      <c r="S62" s="5"/>
    </row>
    <row r="63" customFormat="false" ht="13.5" hidden="false" customHeight="true" outlineLevel="0" collapsed="false">
      <c r="A63" s="5"/>
      <c r="B63" s="5"/>
      <c r="C63" s="5"/>
      <c r="D63" s="5"/>
      <c r="E63" s="5"/>
      <c r="F63" s="5"/>
      <c r="G63" s="5"/>
      <c r="H63" s="5"/>
      <c r="I63" s="5"/>
      <c r="J63" s="5"/>
      <c r="K63" s="5"/>
      <c r="L63" s="5"/>
      <c r="M63" s="5"/>
      <c r="N63" s="5"/>
      <c r="O63" s="5"/>
      <c r="P63" s="5"/>
      <c r="Q63" s="5"/>
      <c r="R63" s="5"/>
      <c r="S63" s="5"/>
    </row>
    <row r="64" customFormat="false" ht="13.5" hidden="false" customHeight="true" outlineLevel="0" collapsed="false">
      <c r="A64" s="5"/>
      <c r="B64" s="5"/>
      <c r="C64" s="5"/>
      <c r="D64" s="5"/>
      <c r="E64" s="5"/>
      <c r="F64" s="5"/>
      <c r="G64" s="5"/>
      <c r="H64" s="5"/>
      <c r="I64" s="5"/>
      <c r="J64" s="5"/>
      <c r="K64" s="5"/>
      <c r="L64" s="5"/>
      <c r="M64" s="5"/>
      <c r="N64" s="5"/>
      <c r="O64" s="5"/>
      <c r="P64" s="5"/>
      <c r="Q64" s="5"/>
      <c r="R64" s="5"/>
      <c r="S64" s="5"/>
    </row>
    <row r="65" customFormat="false" ht="13.5" hidden="false" customHeight="true" outlineLevel="0" collapsed="false">
      <c r="A65" s="5"/>
      <c r="B65" s="5"/>
      <c r="C65" s="5"/>
      <c r="D65" s="5"/>
      <c r="E65" s="5"/>
      <c r="F65" s="5"/>
      <c r="G65" s="5"/>
      <c r="H65" s="5"/>
      <c r="I65" s="5"/>
      <c r="J65" s="5"/>
      <c r="K65" s="5"/>
      <c r="L65" s="5"/>
      <c r="M65" s="5"/>
      <c r="N65" s="5"/>
      <c r="O65" s="5"/>
      <c r="P65" s="5"/>
      <c r="Q65" s="5"/>
      <c r="R65" s="5"/>
      <c r="S65" s="5"/>
    </row>
    <row r="66" customFormat="false" ht="13.5" hidden="false" customHeight="true" outlineLevel="0" collapsed="false">
      <c r="A66" s="5"/>
      <c r="B66" s="5"/>
      <c r="C66" s="5"/>
      <c r="D66" s="5"/>
      <c r="E66" s="5"/>
      <c r="F66" s="5"/>
      <c r="G66" s="5"/>
      <c r="H66" s="5"/>
      <c r="I66" s="5"/>
      <c r="J66" s="5"/>
      <c r="K66" s="5"/>
      <c r="L66" s="5"/>
      <c r="M66" s="5"/>
      <c r="N66" s="5"/>
      <c r="O66" s="5"/>
      <c r="P66" s="5"/>
      <c r="Q66" s="5"/>
      <c r="R66" s="5"/>
      <c r="S66" s="5"/>
    </row>
    <row r="67" customFormat="false" ht="13.5" hidden="false" customHeight="true" outlineLevel="0" collapsed="false">
      <c r="A67" s="5"/>
      <c r="B67" s="5"/>
      <c r="C67" s="5"/>
      <c r="D67" s="5"/>
      <c r="E67" s="5"/>
      <c r="F67" s="5"/>
      <c r="G67" s="5"/>
      <c r="H67" s="5"/>
      <c r="I67" s="5"/>
      <c r="J67" s="5"/>
      <c r="K67" s="5"/>
      <c r="L67" s="5"/>
      <c r="M67" s="5"/>
      <c r="N67" s="5"/>
      <c r="O67" s="5"/>
      <c r="P67" s="5"/>
      <c r="Q67" s="5"/>
      <c r="R67" s="5"/>
      <c r="S67" s="5"/>
    </row>
    <row r="68" customFormat="false" ht="13.5" hidden="false" customHeight="true" outlineLevel="0" collapsed="false">
      <c r="A68" s="5"/>
      <c r="B68" s="5"/>
      <c r="C68" s="5"/>
      <c r="D68" s="5"/>
      <c r="E68" s="5"/>
      <c r="F68" s="5"/>
      <c r="G68" s="5"/>
      <c r="H68" s="5"/>
      <c r="I68" s="5"/>
      <c r="J68" s="5"/>
      <c r="K68" s="5"/>
      <c r="L68" s="5"/>
      <c r="M68" s="5"/>
      <c r="N68" s="5"/>
      <c r="O68" s="5"/>
      <c r="P68" s="5"/>
      <c r="Q68" s="5"/>
      <c r="R68" s="5"/>
      <c r="S68" s="5"/>
    </row>
    <row r="69" customFormat="false" ht="13.5" hidden="false" customHeight="true" outlineLevel="0" collapsed="false">
      <c r="A69" s="5"/>
      <c r="B69" s="5"/>
      <c r="C69" s="5"/>
      <c r="D69" s="5"/>
      <c r="E69" s="5"/>
      <c r="F69" s="5"/>
      <c r="G69" s="5"/>
      <c r="H69" s="5"/>
      <c r="I69" s="5"/>
      <c r="J69" s="5"/>
      <c r="K69" s="5"/>
      <c r="L69" s="5"/>
      <c r="M69" s="5"/>
      <c r="N69" s="5"/>
      <c r="O69" s="5"/>
      <c r="P69" s="5"/>
      <c r="Q69" s="5"/>
      <c r="R69" s="5"/>
      <c r="S69" s="5"/>
    </row>
    <row r="70" customFormat="false" ht="13.5" hidden="false" customHeight="true" outlineLevel="0" collapsed="false">
      <c r="A70" s="5"/>
      <c r="B70" s="5"/>
      <c r="C70" s="5"/>
      <c r="D70" s="5"/>
      <c r="E70" s="5"/>
      <c r="F70" s="5"/>
      <c r="G70" s="5"/>
      <c r="H70" s="5"/>
      <c r="I70" s="5"/>
      <c r="J70" s="5"/>
      <c r="K70" s="5"/>
      <c r="L70" s="5"/>
      <c r="M70" s="5"/>
      <c r="N70" s="5"/>
      <c r="O70" s="5"/>
      <c r="P70" s="5"/>
      <c r="Q70" s="5"/>
      <c r="R70" s="5"/>
      <c r="S70" s="5"/>
    </row>
    <row r="71" customFormat="false" ht="13.5" hidden="false" customHeight="true" outlineLevel="0" collapsed="false">
      <c r="A71" s="5"/>
      <c r="B71" s="5"/>
      <c r="C71" s="5"/>
      <c r="D71" s="5"/>
      <c r="E71" s="5"/>
      <c r="F71" s="5"/>
      <c r="G71" s="5"/>
      <c r="H71" s="5"/>
      <c r="I71" s="5"/>
      <c r="J71" s="5"/>
      <c r="K71" s="5"/>
      <c r="L71" s="5"/>
      <c r="M71" s="5"/>
      <c r="N71" s="5"/>
      <c r="O71" s="5"/>
      <c r="P71" s="5"/>
      <c r="Q71" s="5"/>
      <c r="R71" s="5"/>
      <c r="S71" s="5"/>
    </row>
    <row r="72" customFormat="false" ht="13.5" hidden="false" customHeight="true" outlineLevel="0" collapsed="false">
      <c r="A72" s="5"/>
      <c r="B72" s="5"/>
      <c r="C72" s="5"/>
      <c r="D72" s="5"/>
      <c r="E72" s="5"/>
      <c r="F72" s="5"/>
      <c r="G72" s="5"/>
      <c r="H72" s="5"/>
      <c r="I72" s="5"/>
      <c r="J72" s="5"/>
      <c r="K72" s="5"/>
      <c r="L72" s="5"/>
      <c r="M72" s="5"/>
      <c r="N72" s="5"/>
      <c r="O72" s="5"/>
      <c r="P72" s="5"/>
      <c r="Q72" s="5"/>
      <c r="R72" s="5"/>
      <c r="S72" s="5"/>
    </row>
    <row r="73" customFormat="false" ht="13.5" hidden="false" customHeight="true" outlineLevel="0" collapsed="false">
      <c r="A73" s="5"/>
      <c r="B73" s="5"/>
      <c r="C73" s="5"/>
      <c r="D73" s="5"/>
      <c r="E73" s="5"/>
      <c r="F73" s="5"/>
      <c r="G73" s="5"/>
      <c r="H73" s="5"/>
      <c r="I73" s="5"/>
      <c r="J73" s="5"/>
      <c r="K73" s="5"/>
      <c r="L73" s="5"/>
      <c r="M73" s="5"/>
      <c r="N73" s="5"/>
      <c r="O73" s="5"/>
      <c r="P73" s="5"/>
      <c r="Q73" s="5"/>
      <c r="R73" s="5"/>
      <c r="S73" s="5"/>
    </row>
    <row r="74" customFormat="false" ht="13.5" hidden="false" customHeight="true" outlineLevel="0" collapsed="false">
      <c r="A74" s="5"/>
      <c r="B74" s="5"/>
      <c r="C74" s="5"/>
      <c r="D74" s="5"/>
      <c r="E74" s="5"/>
      <c r="F74" s="5"/>
      <c r="G74" s="5"/>
      <c r="H74" s="5"/>
      <c r="I74" s="5"/>
      <c r="J74" s="5"/>
      <c r="K74" s="5"/>
      <c r="L74" s="5"/>
      <c r="M74" s="5"/>
      <c r="N74" s="5"/>
      <c r="O74" s="5"/>
      <c r="P74" s="5"/>
      <c r="Q74" s="5"/>
      <c r="R74" s="5"/>
      <c r="S74" s="5"/>
    </row>
    <row r="75" customFormat="false" ht="13.5" hidden="false" customHeight="true" outlineLevel="0" collapsed="false">
      <c r="A75" s="5"/>
      <c r="B75" s="5"/>
      <c r="C75" s="5"/>
      <c r="D75" s="5"/>
      <c r="E75" s="5"/>
      <c r="F75" s="5"/>
      <c r="G75" s="5"/>
      <c r="H75" s="5"/>
      <c r="I75" s="5"/>
      <c r="J75" s="5"/>
      <c r="K75" s="5"/>
      <c r="L75" s="5"/>
      <c r="M75" s="5"/>
      <c r="N75" s="5"/>
      <c r="O75" s="5"/>
      <c r="P75" s="5"/>
      <c r="Q75" s="5"/>
      <c r="R75" s="5"/>
      <c r="S75" s="5"/>
    </row>
    <row r="76" customFormat="false" ht="13.5" hidden="false" customHeight="true" outlineLevel="0" collapsed="false">
      <c r="A76" s="5"/>
      <c r="B76" s="5"/>
      <c r="C76" s="5"/>
      <c r="D76" s="5"/>
      <c r="E76" s="5"/>
      <c r="F76" s="5"/>
      <c r="G76" s="5"/>
      <c r="H76" s="5"/>
      <c r="I76" s="5"/>
      <c r="J76" s="5"/>
      <c r="K76" s="5"/>
      <c r="L76" s="5"/>
      <c r="M76" s="5"/>
      <c r="N76" s="5"/>
      <c r="O76" s="5"/>
      <c r="P76" s="5"/>
      <c r="Q76" s="5"/>
      <c r="R76" s="5"/>
      <c r="S76" s="5"/>
    </row>
    <row r="77" customFormat="false" ht="13.5" hidden="false" customHeight="true" outlineLevel="0" collapsed="false">
      <c r="A77" s="5"/>
      <c r="B77" s="5"/>
      <c r="C77" s="5"/>
      <c r="D77" s="5"/>
      <c r="E77" s="5"/>
      <c r="F77" s="5"/>
      <c r="G77" s="5"/>
      <c r="H77" s="5"/>
      <c r="I77" s="5"/>
      <c r="J77" s="5"/>
      <c r="K77" s="5"/>
      <c r="L77" s="5"/>
      <c r="M77" s="5"/>
      <c r="N77" s="5"/>
      <c r="O77" s="5"/>
      <c r="P77" s="5"/>
      <c r="Q77" s="5"/>
      <c r="R77" s="5"/>
      <c r="S77" s="5"/>
    </row>
    <row r="78" customFormat="false" ht="13.5" hidden="false" customHeight="true" outlineLevel="0" collapsed="false">
      <c r="A78" s="5"/>
      <c r="B78" s="5"/>
      <c r="C78" s="5"/>
      <c r="D78" s="5"/>
      <c r="E78" s="5"/>
      <c r="F78" s="5"/>
      <c r="G78" s="5"/>
      <c r="H78" s="5"/>
      <c r="I78" s="5"/>
      <c r="J78" s="5"/>
      <c r="K78" s="5"/>
      <c r="L78" s="5"/>
      <c r="M78" s="5"/>
      <c r="N78" s="5"/>
      <c r="O78" s="5"/>
      <c r="P78" s="5"/>
      <c r="Q78" s="5"/>
      <c r="R78" s="5"/>
      <c r="S78" s="5"/>
    </row>
    <row r="79" customFormat="false" ht="13.5" hidden="false" customHeight="true" outlineLevel="0" collapsed="false">
      <c r="A79" s="5"/>
      <c r="B79" s="5"/>
      <c r="C79" s="5"/>
      <c r="D79" s="5"/>
      <c r="E79" s="5"/>
      <c r="F79" s="5"/>
      <c r="G79" s="5"/>
      <c r="H79" s="5"/>
      <c r="I79" s="5"/>
      <c r="J79" s="5"/>
      <c r="K79" s="5"/>
      <c r="L79" s="5"/>
      <c r="M79" s="5"/>
      <c r="N79" s="5"/>
      <c r="O79" s="5"/>
      <c r="P79" s="5"/>
      <c r="Q79" s="5"/>
      <c r="R79" s="5"/>
      <c r="S79" s="5"/>
    </row>
    <row r="80" customFormat="false" ht="13.5" hidden="false" customHeight="true" outlineLevel="0" collapsed="false">
      <c r="A80" s="5"/>
      <c r="B80" s="5"/>
      <c r="C80" s="5"/>
      <c r="D80" s="5"/>
      <c r="E80" s="5"/>
      <c r="F80" s="5"/>
      <c r="G80" s="5"/>
      <c r="H80" s="5"/>
      <c r="I80" s="5"/>
      <c r="J80" s="5"/>
      <c r="K80" s="5"/>
      <c r="L80" s="5"/>
      <c r="M80" s="5"/>
      <c r="N80" s="5"/>
      <c r="O80" s="5"/>
      <c r="P80" s="5"/>
      <c r="Q80" s="5"/>
      <c r="R80" s="5"/>
      <c r="S80" s="5"/>
    </row>
    <row r="81" customFormat="false" ht="13.5" hidden="false" customHeight="true" outlineLevel="0" collapsed="false">
      <c r="A81" s="5"/>
      <c r="B81" s="5"/>
      <c r="C81" s="5"/>
      <c r="D81" s="5"/>
      <c r="E81" s="5"/>
      <c r="F81" s="5"/>
      <c r="G81" s="5"/>
      <c r="H81" s="5"/>
      <c r="I81" s="5"/>
      <c r="J81" s="5"/>
      <c r="K81" s="5"/>
      <c r="L81" s="5"/>
      <c r="M81" s="5"/>
      <c r="N81" s="5"/>
      <c r="O81" s="5"/>
      <c r="P81" s="5"/>
      <c r="Q81" s="5"/>
      <c r="R81" s="5"/>
      <c r="S81" s="5"/>
    </row>
    <row r="82" customFormat="false" ht="13.5" hidden="false" customHeight="true" outlineLevel="0" collapsed="false">
      <c r="A82" s="5"/>
      <c r="B82" s="5"/>
      <c r="C82" s="5"/>
      <c r="D82" s="5"/>
      <c r="E82" s="5"/>
      <c r="F82" s="5"/>
      <c r="G82" s="5"/>
      <c r="H82" s="5"/>
      <c r="I82" s="5"/>
      <c r="J82" s="5"/>
      <c r="K82" s="5"/>
      <c r="L82" s="5"/>
      <c r="M82" s="5"/>
      <c r="N82" s="5"/>
      <c r="O82" s="5"/>
      <c r="P82" s="5"/>
      <c r="Q82" s="5"/>
      <c r="R82" s="5"/>
      <c r="S82" s="5"/>
    </row>
    <row r="83" customFormat="false" ht="13.5" hidden="false" customHeight="true" outlineLevel="0" collapsed="false">
      <c r="A83" s="5"/>
      <c r="B83" s="5"/>
      <c r="C83" s="5"/>
      <c r="D83" s="5"/>
      <c r="E83" s="5"/>
      <c r="F83" s="5"/>
      <c r="G83" s="5"/>
      <c r="H83" s="5"/>
      <c r="I83" s="5"/>
      <c r="J83" s="5"/>
      <c r="K83" s="5"/>
      <c r="L83" s="5"/>
      <c r="M83" s="5"/>
      <c r="N83" s="5"/>
      <c r="O83" s="5"/>
      <c r="P83" s="5"/>
      <c r="Q83" s="5"/>
      <c r="R83" s="5"/>
      <c r="S83" s="5"/>
    </row>
    <row r="84" customFormat="false" ht="13.5" hidden="false" customHeight="true" outlineLevel="0" collapsed="false">
      <c r="A84" s="5"/>
      <c r="B84" s="5"/>
      <c r="C84" s="5"/>
      <c r="D84" s="5"/>
      <c r="E84" s="5"/>
      <c r="F84" s="5"/>
      <c r="G84" s="5"/>
      <c r="H84" s="5"/>
      <c r="I84" s="5"/>
      <c r="J84" s="5"/>
      <c r="K84" s="5"/>
      <c r="L84" s="5"/>
      <c r="M84" s="5"/>
      <c r="N84" s="5"/>
      <c r="O84" s="5"/>
      <c r="P84" s="5"/>
      <c r="Q84" s="5"/>
      <c r="R84" s="5"/>
      <c r="S84" s="5"/>
    </row>
    <row r="85" customFormat="false" ht="13.5" hidden="false" customHeight="true" outlineLevel="0" collapsed="false">
      <c r="A85" s="5"/>
      <c r="B85" s="5"/>
      <c r="C85" s="5"/>
      <c r="D85" s="5"/>
      <c r="E85" s="5"/>
      <c r="F85" s="5"/>
      <c r="G85" s="5"/>
      <c r="H85" s="5"/>
      <c r="I85" s="5"/>
      <c r="J85" s="5"/>
      <c r="K85" s="5"/>
      <c r="L85" s="5"/>
      <c r="M85" s="5"/>
      <c r="N85" s="5"/>
      <c r="O85" s="5"/>
      <c r="P85" s="5"/>
      <c r="Q85" s="5"/>
      <c r="R85" s="5"/>
      <c r="S85" s="5"/>
    </row>
    <row r="86" customFormat="false" ht="13.5" hidden="false" customHeight="true" outlineLevel="0" collapsed="false">
      <c r="A86" s="5"/>
      <c r="B86" s="5"/>
      <c r="C86" s="5"/>
      <c r="D86" s="5"/>
      <c r="E86" s="5"/>
      <c r="F86" s="5"/>
      <c r="G86" s="5"/>
      <c r="H86" s="5"/>
      <c r="I86" s="5"/>
      <c r="J86" s="5"/>
      <c r="K86" s="5"/>
      <c r="L86" s="5"/>
      <c r="M86" s="5"/>
      <c r="N86" s="5"/>
      <c r="O86" s="5"/>
      <c r="P86" s="5"/>
      <c r="Q86" s="5"/>
      <c r="R86" s="5"/>
      <c r="S86" s="5"/>
    </row>
    <row r="87" customFormat="false" ht="13.5" hidden="false" customHeight="true" outlineLevel="0" collapsed="false">
      <c r="A87" s="5"/>
      <c r="B87" s="5"/>
      <c r="C87" s="5"/>
      <c r="D87" s="5"/>
      <c r="E87" s="5"/>
      <c r="F87" s="5"/>
      <c r="G87" s="5"/>
      <c r="H87" s="5"/>
      <c r="I87" s="5"/>
      <c r="J87" s="5"/>
      <c r="K87" s="5"/>
      <c r="L87" s="5"/>
      <c r="M87" s="5"/>
      <c r="N87" s="5"/>
      <c r="O87" s="5"/>
      <c r="P87" s="5"/>
      <c r="Q87" s="5"/>
      <c r="R87" s="5"/>
      <c r="S87" s="5"/>
    </row>
    <row r="88" customFormat="false" ht="13.5" hidden="false" customHeight="true" outlineLevel="0" collapsed="false">
      <c r="A88" s="5"/>
      <c r="B88" s="5"/>
      <c r="C88" s="5"/>
      <c r="D88" s="5"/>
      <c r="E88" s="5"/>
      <c r="F88" s="5"/>
      <c r="G88" s="5"/>
      <c r="H88" s="5"/>
      <c r="I88" s="5"/>
      <c r="J88" s="5"/>
      <c r="K88" s="5"/>
      <c r="L88" s="5"/>
      <c r="M88" s="5"/>
      <c r="N88" s="5"/>
      <c r="O88" s="5"/>
      <c r="P88" s="5"/>
      <c r="Q88" s="5"/>
      <c r="R88" s="5"/>
      <c r="S88" s="5"/>
    </row>
    <row r="89" customFormat="false" ht="13.5" hidden="false" customHeight="true" outlineLevel="0" collapsed="false">
      <c r="A89" s="5"/>
      <c r="B89" s="5"/>
      <c r="C89" s="5"/>
      <c r="D89" s="5"/>
      <c r="E89" s="5"/>
      <c r="F89" s="5"/>
      <c r="G89" s="5"/>
      <c r="H89" s="5"/>
      <c r="I89" s="5"/>
      <c r="J89" s="5"/>
      <c r="K89" s="5"/>
      <c r="L89" s="5"/>
      <c r="M89" s="5"/>
      <c r="N89" s="5"/>
      <c r="O89" s="5"/>
      <c r="P89" s="5"/>
      <c r="Q89" s="5"/>
      <c r="R89" s="5"/>
      <c r="S89" s="5"/>
    </row>
    <row r="90" customFormat="false" ht="13.5" hidden="false" customHeight="true" outlineLevel="0" collapsed="false">
      <c r="A90" s="5"/>
      <c r="B90" s="5"/>
      <c r="C90" s="5"/>
      <c r="D90" s="5"/>
      <c r="E90" s="5"/>
      <c r="F90" s="5"/>
      <c r="G90" s="5"/>
      <c r="H90" s="5"/>
      <c r="I90" s="5"/>
      <c r="J90" s="5"/>
      <c r="K90" s="5"/>
      <c r="L90" s="5"/>
      <c r="M90" s="5"/>
      <c r="N90" s="5"/>
      <c r="O90" s="5"/>
      <c r="P90" s="5"/>
      <c r="Q90" s="5"/>
      <c r="R90" s="5"/>
      <c r="S90" s="5"/>
    </row>
    <row r="91" customFormat="false" ht="13.5" hidden="false" customHeight="true" outlineLevel="0" collapsed="false">
      <c r="A91" s="5"/>
      <c r="B91" s="5"/>
      <c r="C91" s="5"/>
      <c r="D91" s="5"/>
      <c r="E91" s="5"/>
      <c r="F91" s="5"/>
      <c r="G91" s="5"/>
      <c r="H91" s="5"/>
      <c r="I91" s="5"/>
      <c r="J91" s="5"/>
      <c r="K91" s="5"/>
      <c r="L91" s="5"/>
      <c r="M91" s="5"/>
      <c r="N91" s="5"/>
      <c r="O91" s="5"/>
      <c r="P91" s="5"/>
      <c r="Q91" s="5"/>
      <c r="R91" s="5"/>
      <c r="S91" s="5"/>
    </row>
    <row r="92" customFormat="false" ht="13.5" hidden="false" customHeight="true" outlineLevel="0" collapsed="false">
      <c r="A92" s="5"/>
      <c r="B92" s="5"/>
      <c r="C92" s="5"/>
      <c r="D92" s="5"/>
      <c r="E92" s="5"/>
      <c r="F92" s="5"/>
      <c r="G92" s="5"/>
      <c r="H92" s="5"/>
      <c r="I92" s="5"/>
      <c r="J92" s="5"/>
      <c r="K92" s="5"/>
      <c r="L92" s="5"/>
      <c r="M92" s="5"/>
      <c r="N92" s="5"/>
      <c r="O92" s="5"/>
      <c r="P92" s="5"/>
      <c r="Q92" s="5"/>
      <c r="R92" s="5"/>
      <c r="S92" s="5"/>
    </row>
    <row r="93" customFormat="false" ht="13.5" hidden="false" customHeight="true" outlineLevel="0" collapsed="false">
      <c r="A93" s="5"/>
      <c r="B93" s="5"/>
      <c r="C93" s="5"/>
      <c r="D93" s="5"/>
      <c r="E93" s="5"/>
      <c r="F93" s="5"/>
      <c r="G93" s="5"/>
      <c r="H93" s="5"/>
      <c r="I93" s="5"/>
      <c r="J93" s="5"/>
      <c r="K93" s="5"/>
      <c r="L93" s="5"/>
      <c r="M93" s="5"/>
      <c r="N93" s="5"/>
      <c r="O93" s="5"/>
      <c r="P93" s="5"/>
      <c r="Q93" s="5"/>
      <c r="R93" s="5"/>
      <c r="S93" s="5"/>
    </row>
    <row r="94" customFormat="false" ht="13.5" hidden="false" customHeight="true" outlineLevel="0" collapsed="false">
      <c r="A94" s="5"/>
      <c r="B94" s="5"/>
      <c r="C94" s="5"/>
      <c r="D94" s="5"/>
      <c r="E94" s="5"/>
      <c r="F94" s="5"/>
      <c r="G94" s="5"/>
      <c r="H94" s="5"/>
      <c r="I94" s="5"/>
      <c r="J94" s="5"/>
      <c r="K94" s="5"/>
      <c r="L94" s="5"/>
      <c r="M94" s="5"/>
      <c r="N94" s="5"/>
      <c r="O94" s="5"/>
      <c r="P94" s="5"/>
      <c r="Q94" s="5"/>
      <c r="R94" s="5"/>
      <c r="S94" s="5"/>
    </row>
    <row r="95" customFormat="false" ht="13.5" hidden="false" customHeight="true" outlineLevel="0" collapsed="false">
      <c r="A95" s="5"/>
      <c r="B95" s="5"/>
      <c r="C95" s="5"/>
      <c r="D95" s="5"/>
      <c r="E95" s="5"/>
      <c r="F95" s="5"/>
      <c r="G95" s="5"/>
      <c r="H95" s="5"/>
      <c r="I95" s="5"/>
      <c r="J95" s="5"/>
      <c r="K95" s="5"/>
      <c r="L95" s="5"/>
      <c r="M95" s="5"/>
      <c r="N95" s="5"/>
      <c r="O95" s="5"/>
      <c r="P95" s="5"/>
      <c r="Q95" s="5"/>
      <c r="R95" s="5"/>
      <c r="S95" s="5"/>
    </row>
    <row r="96" customFormat="false" ht="13.5" hidden="false" customHeight="true" outlineLevel="0" collapsed="false">
      <c r="A96" s="5"/>
      <c r="B96" s="5"/>
      <c r="C96" s="5"/>
      <c r="D96" s="5"/>
      <c r="E96" s="5"/>
      <c r="F96" s="5"/>
      <c r="G96" s="5"/>
      <c r="H96" s="5"/>
      <c r="I96" s="5"/>
      <c r="J96" s="5"/>
      <c r="K96" s="5"/>
      <c r="L96" s="5"/>
      <c r="M96" s="5"/>
      <c r="N96" s="5"/>
      <c r="O96" s="5"/>
      <c r="P96" s="5"/>
      <c r="Q96" s="5"/>
      <c r="R96" s="5"/>
      <c r="S96" s="5"/>
    </row>
    <row r="97" customFormat="false" ht="13.5" hidden="false" customHeight="true" outlineLevel="0" collapsed="false">
      <c r="A97" s="5"/>
      <c r="B97" s="5"/>
      <c r="C97" s="5"/>
      <c r="D97" s="5"/>
      <c r="E97" s="5"/>
      <c r="F97" s="5"/>
      <c r="G97" s="5"/>
      <c r="H97" s="5"/>
      <c r="I97" s="5"/>
      <c r="J97" s="5"/>
      <c r="K97" s="5"/>
      <c r="L97" s="5"/>
      <c r="M97" s="5"/>
      <c r="N97" s="5"/>
      <c r="O97" s="5"/>
      <c r="P97" s="5"/>
      <c r="Q97" s="5"/>
      <c r="R97" s="5"/>
      <c r="S97" s="5"/>
    </row>
    <row r="98" customFormat="false" ht="13.5" hidden="false" customHeight="true" outlineLevel="0" collapsed="false">
      <c r="A98" s="5"/>
      <c r="B98" s="5"/>
      <c r="C98" s="5"/>
      <c r="D98" s="5"/>
      <c r="E98" s="5"/>
      <c r="F98" s="5"/>
      <c r="G98" s="5"/>
      <c r="H98" s="5"/>
      <c r="I98" s="5"/>
      <c r="J98" s="5"/>
      <c r="K98" s="5"/>
      <c r="L98" s="5"/>
      <c r="M98" s="5"/>
      <c r="N98" s="5"/>
      <c r="O98" s="5"/>
      <c r="P98" s="5"/>
      <c r="Q98" s="5"/>
      <c r="R98" s="5"/>
      <c r="S98" s="5"/>
    </row>
    <row r="99" customFormat="false" ht="13.5" hidden="false" customHeight="true" outlineLevel="0" collapsed="false">
      <c r="A99" s="5"/>
      <c r="B99" s="5"/>
      <c r="C99" s="5"/>
      <c r="D99" s="5"/>
      <c r="E99" s="5"/>
      <c r="F99" s="5"/>
      <c r="G99" s="5"/>
      <c r="H99" s="5"/>
      <c r="I99" s="5"/>
      <c r="J99" s="5"/>
      <c r="K99" s="5"/>
      <c r="L99" s="5"/>
      <c r="M99" s="5"/>
      <c r="N99" s="5"/>
      <c r="O99" s="5"/>
      <c r="P99" s="5"/>
      <c r="Q99" s="5"/>
      <c r="R99" s="5"/>
      <c r="S99" s="5"/>
    </row>
    <row r="100" customFormat="false" ht="13.5" hidden="false" customHeight="true" outlineLevel="0" collapsed="false">
      <c r="A100" s="5"/>
      <c r="B100" s="5"/>
      <c r="C100" s="5"/>
      <c r="D100" s="5"/>
      <c r="E100" s="5"/>
      <c r="F100" s="5"/>
      <c r="G100" s="5"/>
      <c r="H100" s="5"/>
      <c r="I100" s="5"/>
      <c r="J100" s="36" t="s">
        <v>930</v>
      </c>
      <c r="K100" s="36" t="s">
        <v>2316</v>
      </c>
      <c r="L100" s="36" t="s">
        <v>2317</v>
      </c>
      <c r="M100" s="36" t="s">
        <v>2318</v>
      </c>
      <c r="N100" s="36" t="s">
        <v>2319</v>
      </c>
      <c r="O100" s="36" t="s">
        <v>2320</v>
      </c>
      <c r="P100" s="5"/>
      <c r="Q100" s="5"/>
      <c r="R100" s="5"/>
      <c r="S100" s="5"/>
    </row>
    <row r="101" customFormat="false" ht="13.5" hidden="false" customHeight="true" outlineLevel="0" collapsed="false">
      <c r="A101" s="5"/>
      <c r="B101" s="5"/>
      <c r="C101" s="5"/>
      <c r="D101" s="5"/>
      <c r="E101" s="5"/>
      <c r="F101" s="5"/>
      <c r="G101" s="5"/>
      <c r="H101" s="5"/>
      <c r="I101" s="5"/>
      <c r="J101" s="36" t="str">
        <f aca="false">TRC!B15</f>
        <v>S06</v>
      </c>
      <c r="K101" s="36" t="n">
        <f aca="false">TRC!D15</f>
        <v>0.03</v>
      </c>
      <c r="L101" s="36" t="n">
        <f aca="false">IF(OR(J101="S06",J101="S04",J101="S03"),1.2,1)</f>
        <v>1.2</v>
      </c>
      <c r="M101" s="36" t="n">
        <f aca="false">K101*L101/SUMPRODUCT($K$101:$K$107,$L$101:$L$107)</f>
        <v>0.0347490347490347</v>
      </c>
      <c r="N101" s="36" t="n">
        <f aca="false">IF(OR(J101="S06",J101="S04",J101="S03"),0.8,1)</f>
        <v>0.8</v>
      </c>
      <c r="O101" s="36" t="n">
        <f aca="false">K101*N101/SUMPRODUCT($K$101:$K$107,$N$101:$N$107)</f>
        <v>0.024896265560166</v>
      </c>
      <c r="P101" s="5"/>
      <c r="Q101" s="5"/>
      <c r="R101" s="5"/>
      <c r="S101" s="5"/>
    </row>
    <row r="102" customFormat="false" ht="13.5" hidden="false" customHeight="true" outlineLevel="0" collapsed="false">
      <c r="A102" s="5"/>
      <c r="B102" s="5"/>
      <c r="C102" s="5"/>
      <c r="D102" s="5"/>
      <c r="E102" s="5"/>
      <c r="F102" s="5"/>
      <c r="G102" s="5"/>
      <c r="H102" s="5"/>
      <c r="I102" s="5"/>
      <c r="J102" s="36" t="str">
        <f aca="false">TRC!B16</f>
        <v>S04</v>
      </c>
      <c r="K102" s="36" t="n">
        <f aca="false">TRC!D16</f>
        <v>0.07</v>
      </c>
      <c r="L102" s="36" t="n">
        <f aca="false">IF(OR(J102="S06",J102="S04",J102="S03"),1.2,1)</f>
        <v>1.2</v>
      </c>
      <c r="M102" s="36" t="n">
        <f aca="false">K102*L102/SUMPRODUCT($K$101:$K$107,$L$101:$L$107)</f>
        <v>0.0810810810810811</v>
      </c>
      <c r="N102" s="36" t="n">
        <f aca="false">IF(OR(J102="S06",J102="S04",J102="S03"),0.8,1)</f>
        <v>0.8</v>
      </c>
      <c r="O102" s="36" t="n">
        <f aca="false">K102*N102/SUMPRODUCT($K$101:$K$107,$N$101:$N$107)</f>
        <v>0.058091286307054</v>
      </c>
      <c r="P102" s="5"/>
      <c r="Q102" s="5"/>
      <c r="R102" s="5"/>
      <c r="S102" s="5"/>
    </row>
    <row r="103" customFormat="false" ht="13.5" hidden="false" customHeight="true" outlineLevel="0" collapsed="false">
      <c r="A103" s="5"/>
      <c r="B103" s="5"/>
      <c r="C103" s="5"/>
      <c r="D103" s="5"/>
      <c r="E103" s="5"/>
      <c r="F103" s="5"/>
      <c r="G103" s="5"/>
      <c r="H103" s="5"/>
      <c r="I103" s="5"/>
      <c r="J103" s="36" t="str">
        <f aca="false">TRC!B17</f>
        <v>S03</v>
      </c>
      <c r="K103" s="36" t="n">
        <f aca="false">TRC!D17</f>
        <v>0.08</v>
      </c>
      <c r="L103" s="36" t="n">
        <f aca="false">IF(OR(J103="S06",J103="S04",J103="S03"),1.2,1)</f>
        <v>1.2</v>
      </c>
      <c r="M103" s="36" t="n">
        <f aca="false">K103*L103/SUMPRODUCT($K$101:$K$107,$L$101:$L$107)</f>
        <v>0.0926640926640927</v>
      </c>
      <c r="N103" s="36" t="n">
        <f aca="false">IF(OR(J103="S06",J103="S04",J103="S03"),0.8,1)</f>
        <v>0.8</v>
      </c>
      <c r="O103" s="36" t="n">
        <f aca="false">K103*N103/SUMPRODUCT($K$101:$K$107,$N$101:$N$107)</f>
        <v>0.0663900414937759</v>
      </c>
      <c r="P103" s="5"/>
      <c r="Q103" s="5"/>
      <c r="R103" s="5"/>
      <c r="S103" s="5"/>
    </row>
    <row r="104" customFormat="false" ht="13.5" hidden="false" customHeight="true" outlineLevel="0" collapsed="false">
      <c r="A104" s="5"/>
      <c r="B104" s="5"/>
      <c r="C104" s="5"/>
      <c r="D104" s="5"/>
      <c r="E104" s="5"/>
      <c r="F104" s="5"/>
      <c r="G104" s="5"/>
      <c r="H104" s="5"/>
      <c r="I104" s="5"/>
      <c r="J104" s="36" t="str">
        <f aca="false">TRC!B18</f>
        <v>S05</v>
      </c>
      <c r="K104" s="36" t="n">
        <f aca="false">TRC!D18</f>
        <v>0.05</v>
      </c>
      <c r="L104" s="36" t="n">
        <f aca="false">IF(OR(J104="S06",J104="S04",J104="S03"),1.2,1)</f>
        <v>1</v>
      </c>
      <c r="M104" s="36" t="n">
        <f aca="false">K104*L104/SUMPRODUCT($K$101:$K$107,$L$101:$L$107)</f>
        <v>0.0482625482625483</v>
      </c>
      <c r="N104" s="36" t="n">
        <f aca="false">IF(OR(J104="S06",J104="S04",J104="S03"),0.8,1)</f>
        <v>1</v>
      </c>
      <c r="O104" s="36" t="n">
        <f aca="false">K104*N104/SUMPRODUCT($K$101:$K$107,$N$101:$N$107)</f>
        <v>0.0518672199170125</v>
      </c>
      <c r="P104" s="5"/>
      <c r="Q104" s="5"/>
      <c r="R104" s="5"/>
      <c r="S104" s="5"/>
    </row>
    <row r="105" customFormat="false" ht="13.5" hidden="false" customHeight="true" outlineLevel="0" collapsed="false">
      <c r="A105" s="5"/>
      <c r="B105" s="5"/>
      <c r="C105" s="5"/>
      <c r="D105" s="5"/>
      <c r="E105" s="5"/>
      <c r="F105" s="5"/>
      <c r="G105" s="5"/>
      <c r="H105" s="5"/>
      <c r="I105" s="5"/>
      <c r="J105" s="36" t="str">
        <f aca="false">TRC!B19</f>
        <v>S07</v>
      </c>
      <c r="K105" s="36" t="n">
        <f aca="false">TRC!D19</f>
        <v>0.02</v>
      </c>
      <c r="L105" s="36" t="n">
        <f aca="false">IF(OR(J105="S06",J105="S04",J105="S03"),1.2,1)</f>
        <v>1</v>
      </c>
      <c r="M105" s="36" t="n">
        <f aca="false">K105*L105/SUMPRODUCT($K$101:$K$107,$L$101:$L$107)</f>
        <v>0.0193050193050193</v>
      </c>
      <c r="N105" s="36" t="n">
        <f aca="false">IF(OR(J105="S06",J105="S04",J105="S03"),0.8,1)</f>
        <v>1</v>
      </c>
      <c r="O105" s="36" t="n">
        <f aca="false">K105*N105/SUMPRODUCT($K$101:$K$107,$N$101:$N$107)</f>
        <v>0.020746887966805</v>
      </c>
      <c r="P105" s="5"/>
      <c r="Q105" s="5"/>
      <c r="R105" s="5"/>
      <c r="S105" s="5"/>
    </row>
    <row r="106" customFormat="false" ht="13.5" hidden="false" customHeight="true" outlineLevel="0" collapsed="false">
      <c r="A106" s="5"/>
      <c r="B106" s="5"/>
      <c r="C106" s="5"/>
      <c r="D106" s="5"/>
      <c r="E106" s="5"/>
      <c r="F106" s="5"/>
      <c r="G106" s="5"/>
      <c r="H106" s="5"/>
      <c r="I106" s="5"/>
      <c r="J106" s="36" t="str">
        <f aca="false">TRC!B20</f>
        <v>S02</v>
      </c>
      <c r="K106" s="36" t="n">
        <f aca="false">TRC!D20</f>
        <v>0.15</v>
      </c>
      <c r="L106" s="36" t="n">
        <f aca="false">IF(OR(J106="S06",J106="S04",J106="S03"),1.2,1)</f>
        <v>1</v>
      </c>
      <c r="M106" s="36" t="n">
        <f aca="false">K106*L106/SUMPRODUCT($K$101:$K$107,$L$101:$L$107)</f>
        <v>0.144787644787645</v>
      </c>
      <c r="N106" s="36" t="n">
        <f aca="false">IF(OR(J106="S06",J106="S04",J106="S03"),0.8,1)</f>
        <v>1</v>
      </c>
      <c r="O106" s="36" t="n">
        <f aca="false">K106*N106/SUMPRODUCT($K$101:$K$107,$N$101:$N$107)</f>
        <v>0.155601659751037</v>
      </c>
      <c r="P106" s="5"/>
      <c r="Q106" s="5"/>
      <c r="R106" s="5"/>
      <c r="S106" s="5"/>
    </row>
    <row r="107" customFormat="false" ht="13.5" hidden="false" customHeight="true" outlineLevel="0" collapsed="false">
      <c r="A107" s="5"/>
      <c r="B107" s="5"/>
      <c r="C107" s="5"/>
      <c r="D107" s="5"/>
      <c r="E107" s="5"/>
      <c r="F107" s="5"/>
      <c r="G107" s="5"/>
      <c r="H107" s="5"/>
      <c r="I107" s="5"/>
      <c r="J107" s="36" t="str">
        <f aca="false">TRC!B21</f>
        <v>S01</v>
      </c>
      <c r="K107" s="36" t="n">
        <f aca="false">TRC!D21</f>
        <v>0.6</v>
      </c>
      <c r="L107" s="36" t="n">
        <f aca="false">IF(OR(J107="S06",J107="S04",J107="S03"),1.2,1)</f>
        <v>1</v>
      </c>
      <c r="M107" s="36" t="n">
        <f aca="false">K107*L107/SUMPRODUCT($K$101:$K$107,$L$101:$L$107)</f>
        <v>0.579150579150579</v>
      </c>
      <c r="N107" s="36" t="n">
        <f aca="false">IF(OR(J107="S06",J107="S04",J107="S03"),0.8,1)</f>
        <v>1</v>
      </c>
      <c r="O107" s="36" t="n">
        <f aca="false">K107*N107/SUMPRODUCT($K$101:$K$107,$N$101:$N$107)</f>
        <v>0.622406639004149</v>
      </c>
      <c r="P107" s="5"/>
      <c r="Q107" s="5"/>
      <c r="R107" s="5"/>
      <c r="S107" s="5"/>
    </row>
    <row r="108" customFormat="false" ht="13.5" hidden="false" customHeight="true" outlineLevel="0" collapsed="false">
      <c r="A108" s="5"/>
      <c r="B108" s="5"/>
      <c r="C108" s="5"/>
      <c r="D108" s="5"/>
      <c r="E108" s="5"/>
      <c r="F108" s="5"/>
      <c r="G108" s="5"/>
      <c r="H108" s="5"/>
      <c r="I108" s="5"/>
      <c r="J108" s="5"/>
      <c r="K108" s="5"/>
      <c r="L108" s="5"/>
      <c r="M108" s="5"/>
      <c r="N108" s="5"/>
      <c r="O108" s="5"/>
      <c r="P108" s="5"/>
      <c r="Q108" s="5"/>
      <c r="R108" s="5"/>
      <c r="S108" s="5"/>
    </row>
    <row r="109" customFormat="false" ht="13.5" hidden="false" customHeight="true" outlineLevel="0" collapsed="false">
      <c r="A109" s="5"/>
      <c r="B109" s="5"/>
      <c r="C109" s="5"/>
      <c r="D109" s="5"/>
      <c r="E109" s="5"/>
      <c r="F109" s="5"/>
      <c r="G109" s="5"/>
      <c r="H109" s="5"/>
      <c r="I109" s="5"/>
      <c r="J109" s="36" t="s">
        <v>2321</v>
      </c>
      <c r="K109" s="5"/>
      <c r="L109" s="5"/>
      <c r="M109" s="5"/>
      <c r="N109" s="5"/>
      <c r="O109" s="5"/>
      <c r="P109" s="5"/>
      <c r="Q109" s="5"/>
      <c r="R109" s="5"/>
      <c r="S109" s="5"/>
    </row>
    <row r="110" customFormat="false" ht="13.5" hidden="false" customHeight="true" outlineLevel="0" collapsed="false">
      <c r="A110" s="5"/>
      <c r="B110" s="5"/>
      <c r="C110" s="5"/>
      <c r="D110" s="5"/>
      <c r="E110" s="5"/>
      <c r="F110" s="5"/>
      <c r="G110" s="5"/>
      <c r="H110" s="5"/>
      <c r="I110" s="5"/>
      <c r="J110" s="36" t="s">
        <v>1488</v>
      </c>
      <c r="K110" s="36" t="s">
        <v>930</v>
      </c>
      <c r="L110" s="36" t="s">
        <v>932</v>
      </c>
      <c r="M110" s="36" t="s">
        <v>2322</v>
      </c>
      <c r="N110" s="36" t="s">
        <v>1491</v>
      </c>
      <c r="O110" s="36" t="s">
        <v>1492</v>
      </c>
      <c r="P110" s="36" t="s">
        <v>867</v>
      </c>
      <c r="Q110" s="5"/>
      <c r="R110" s="36" t="s">
        <v>2323</v>
      </c>
      <c r="S110" s="36" t="n">
        <f aca="false">TRC!B8</f>
        <v>0.05</v>
      </c>
    </row>
    <row r="111" customFormat="false" ht="13.5" hidden="false" customHeight="true" outlineLevel="0" collapsed="false">
      <c r="A111" s="5"/>
      <c r="B111" s="5"/>
      <c r="C111" s="5"/>
      <c r="D111" s="5"/>
      <c r="E111" s="5"/>
      <c r="F111" s="5"/>
      <c r="G111" s="5"/>
      <c r="H111" s="5"/>
      <c r="I111" s="5"/>
      <c r="J111" s="36" t="n">
        <v>1</v>
      </c>
      <c r="K111" s="36" t="str">
        <f aca="false">TRC!B15</f>
        <v>S06</v>
      </c>
      <c r="L111" s="36" t="n">
        <f aca="false">TRC!C15</f>
        <v>0.0235</v>
      </c>
      <c r="M111" s="36" t="n">
        <f aca="false">VLOOKUP(K111,$J$101:$M$107,4,FALSE())</f>
        <v>0.0347490347490347</v>
      </c>
      <c r="N111" s="36" t="n">
        <f aca="false">M111</f>
        <v>0.0347490347490347</v>
      </c>
      <c r="O111" s="36" t="n">
        <f aca="false">MIN(M111,$S$110)</f>
        <v>0.0347490347490347</v>
      </c>
      <c r="P111" s="36" t="n">
        <f aca="false">O111*L111</f>
        <v>0.000816602316602317</v>
      </c>
      <c r="Q111" s="5"/>
      <c r="R111" s="36" t="s">
        <v>1929</v>
      </c>
      <c r="S111" s="36" t="n">
        <f aca="false">TRC!B9</f>
        <v>0.2</v>
      </c>
    </row>
    <row r="112" customFormat="false" ht="13.5" hidden="false" customHeight="true" outlineLevel="0" collapsed="false">
      <c r="A112" s="5"/>
      <c r="B112" s="5"/>
      <c r="C112" s="5"/>
      <c r="D112" s="5"/>
      <c r="E112" s="5"/>
      <c r="F112" s="5"/>
      <c r="G112" s="5"/>
      <c r="H112" s="5"/>
      <c r="I112" s="5"/>
      <c r="J112" s="36" t="n">
        <v>2</v>
      </c>
      <c r="K112" s="36" t="str">
        <f aca="false">TRC!B16</f>
        <v>S04</v>
      </c>
      <c r="L112" s="36" t="n">
        <f aca="false">TRC!C16</f>
        <v>0.0195</v>
      </c>
      <c r="M112" s="36" t="n">
        <f aca="false">VLOOKUP(K112,$J$101:$M$107,4,FALSE())</f>
        <v>0.0810810810810811</v>
      </c>
      <c r="N112" s="36" t="n">
        <f aca="false">N111+M112</f>
        <v>0.115830115830116</v>
      </c>
      <c r="O112" s="36" t="n">
        <f aca="false">MAX(0,MIN(M112,$S$110-N111))</f>
        <v>0.0152509652509653</v>
      </c>
      <c r="P112" s="36" t="n">
        <f aca="false">O112*L112</f>
        <v>0.000297393822393823</v>
      </c>
      <c r="Q112" s="5"/>
      <c r="R112" s="5"/>
      <c r="S112" s="5"/>
    </row>
    <row r="113" customFormat="false" ht="13.5" hidden="false" customHeight="true" outlineLevel="0" collapsed="false">
      <c r="A113" s="5"/>
      <c r="B113" s="5"/>
      <c r="C113" s="5"/>
      <c r="D113" s="5"/>
      <c r="E113" s="5"/>
      <c r="F113" s="5"/>
      <c r="G113" s="5"/>
      <c r="H113" s="5"/>
      <c r="I113" s="5"/>
      <c r="J113" s="36" t="n">
        <v>3</v>
      </c>
      <c r="K113" s="36" t="str">
        <f aca="false">TRC!B17</f>
        <v>S03</v>
      </c>
      <c r="L113" s="36" t="n">
        <f aca="false">TRC!C17</f>
        <v>0.0175</v>
      </c>
      <c r="M113" s="36" t="n">
        <f aca="false">VLOOKUP(K113,$J$101:$M$107,4,FALSE())</f>
        <v>0.0926640926640927</v>
      </c>
      <c r="N113" s="36" t="n">
        <f aca="false">N112+M113</f>
        <v>0.208494208494208</v>
      </c>
      <c r="O113" s="36" t="n">
        <f aca="false">MAX(0,MIN(M113,$S$110-N112))</f>
        <v>0</v>
      </c>
      <c r="P113" s="36" t="n">
        <f aca="false">O113*L113</f>
        <v>0</v>
      </c>
      <c r="Q113" s="5"/>
      <c r="R113" s="5"/>
      <c r="S113" s="5"/>
    </row>
    <row r="114" customFormat="false" ht="13.5" hidden="false" customHeight="true" outlineLevel="0" collapsed="false">
      <c r="A114" s="5"/>
      <c r="B114" s="5"/>
      <c r="C114" s="5"/>
      <c r="D114" s="5"/>
      <c r="E114" s="5"/>
      <c r="F114" s="5"/>
      <c r="G114" s="5"/>
      <c r="H114" s="5"/>
      <c r="I114" s="5"/>
      <c r="J114" s="36" t="n">
        <v>4</v>
      </c>
      <c r="K114" s="36" t="str">
        <f aca="false">TRC!B18</f>
        <v>S05</v>
      </c>
      <c r="L114" s="36" t="n">
        <f aca="false">TRC!C18</f>
        <v>0.0135</v>
      </c>
      <c r="M114" s="36" t="n">
        <f aca="false">VLOOKUP(K114,$J$101:$M$107,4,FALSE())</f>
        <v>0.0482625482625483</v>
      </c>
      <c r="N114" s="36" t="n">
        <f aca="false">N113+M114</f>
        <v>0.256756756756757</v>
      </c>
      <c r="O114" s="36" t="n">
        <f aca="false">MAX(0,MIN(M114,$S$110-N113))</f>
        <v>0</v>
      </c>
      <c r="P114" s="36" t="n">
        <f aca="false">O114*L114</f>
        <v>0</v>
      </c>
      <c r="Q114" s="5"/>
      <c r="R114" s="5"/>
      <c r="S114" s="5"/>
    </row>
    <row r="115" customFormat="false" ht="13.5" hidden="false" customHeight="true" outlineLevel="0" collapsed="false">
      <c r="A115" s="5"/>
      <c r="B115" s="5"/>
      <c r="C115" s="5"/>
      <c r="D115" s="5"/>
      <c r="E115" s="5"/>
      <c r="F115" s="5"/>
      <c r="G115" s="5"/>
      <c r="H115" s="5"/>
      <c r="I115" s="5"/>
      <c r="J115" s="36" t="n">
        <v>5</v>
      </c>
      <c r="K115" s="36" t="str">
        <f aca="false">TRC!B19</f>
        <v>S07</v>
      </c>
      <c r="L115" s="36" t="n">
        <f aca="false">TRC!C19</f>
        <v>0.01</v>
      </c>
      <c r="M115" s="36" t="n">
        <f aca="false">VLOOKUP(K115,$J$101:$M$107,4,FALSE())</f>
        <v>0.0193050193050193</v>
      </c>
      <c r="N115" s="36" t="n">
        <f aca="false">N114+M115</f>
        <v>0.276061776061776</v>
      </c>
      <c r="O115" s="36" t="n">
        <f aca="false">MAX(0,MIN(M115,$S$110-N114))</f>
        <v>0</v>
      </c>
      <c r="P115" s="36" t="n">
        <f aca="false">O115*L115</f>
        <v>0</v>
      </c>
      <c r="Q115" s="5"/>
      <c r="R115" s="5"/>
      <c r="S115" s="5"/>
    </row>
    <row r="116" customFormat="false" ht="13.5" hidden="false" customHeight="true" outlineLevel="0" collapsed="false">
      <c r="A116" s="5"/>
      <c r="B116" s="5"/>
      <c r="C116" s="5"/>
      <c r="D116" s="5"/>
      <c r="E116" s="5"/>
      <c r="F116" s="5"/>
      <c r="G116" s="5"/>
      <c r="H116" s="5"/>
      <c r="I116" s="5"/>
      <c r="J116" s="36" t="n">
        <v>6</v>
      </c>
      <c r="K116" s="36" t="str">
        <f aca="false">TRC!B20</f>
        <v>S02</v>
      </c>
      <c r="L116" s="36" t="n">
        <f aca="false">TRC!C20</f>
        <v>0.007</v>
      </c>
      <c r="M116" s="36" t="n">
        <f aca="false">VLOOKUP(K116,$J$101:$M$107,4,FALSE())</f>
        <v>0.144787644787645</v>
      </c>
      <c r="N116" s="36" t="n">
        <f aca="false">N115+M116</f>
        <v>0.420849420849421</v>
      </c>
      <c r="O116" s="36" t="n">
        <f aca="false">MAX(0,MIN(M116,$S$110-N115))</f>
        <v>0</v>
      </c>
      <c r="P116" s="36" t="n">
        <f aca="false">O116*L116</f>
        <v>0</v>
      </c>
      <c r="Q116" s="5"/>
      <c r="R116" s="5"/>
      <c r="S116" s="5"/>
    </row>
    <row r="117" customFormat="false" ht="13.5" hidden="false" customHeight="true" outlineLevel="0" collapsed="false">
      <c r="A117" s="5"/>
      <c r="B117" s="5"/>
      <c r="C117" s="5"/>
      <c r="D117" s="5"/>
      <c r="E117" s="5"/>
      <c r="F117" s="5"/>
      <c r="G117" s="5"/>
      <c r="H117" s="5"/>
      <c r="I117" s="5"/>
      <c r="J117" s="36" t="n">
        <v>7</v>
      </c>
      <c r="K117" s="36" t="str">
        <f aca="false">TRC!B21</f>
        <v>S01</v>
      </c>
      <c r="L117" s="36" t="n">
        <f aca="false">TRC!C21</f>
        <v>0</v>
      </c>
      <c r="M117" s="36" t="n">
        <f aca="false">VLOOKUP(K117,$J$101:$M$107,4,FALSE())</f>
        <v>0.579150579150579</v>
      </c>
      <c r="N117" s="36" t="n">
        <f aca="false">N116+M117</f>
        <v>1</v>
      </c>
      <c r="O117" s="36" t="n">
        <f aca="false">MAX(0,MIN(M117,$S$110-N116))</f>
        <v>0</v>
      </c>
      <c r="P117" s="36" t="n">
        <f aca="false">O117*L117</f>
        <v>0</v>
      </c>
      <c r="Q117" s="5"/>
      <c r="R117" s="5"/>
      <c r="S117" s="5"/>
    </row>
    <row r="118" customFormat="false" ht="13.5" hidden="false" customHeight="true" outlineLevel="0" collapsed="false">
      <c r="A118" s="5"/>
      <c r="B118" s="5"/>
      <c r="C118" s="5"/>
      <c r="D118" s="5"/>
      <c r="E118" s="5"/>
      <c r="F118" s="5"/>
      <c r="G118" s="5"/>
      <c r="H118" s="5"/>
      <c r="I118" s="5"/>
      <c r="J118" s="5"/>
      <c r="K118" s="5"/>
      <c r="L118" s="5"/>
      <c r="M118" s="5"/>
      <c r="N118" s="5"/>
      <c r="O118" s="5"/>
      <c r="P118" s="5"/>
      <c r="Q118" s="5"/>
      <c r="R118" s="5"/>
      <c r="S118" s="5"/>
    </row>
    <row r="119" customFormat="false" ht="13.5" hidden="false" customHeight="true" outlineLevel="0" collapsed="false">
      <c r="A119" s="5"/>
      <c r="B119" s="5"/>
      <c r="C119" s="5"/>
      <c r="D119" s="5"/>
      <c r="E119" s="5"/>
      <c r="F119" s="5"/>
      <c r="G119" s="5"/>
      <c r="H119" s="5"/>
      <c r="I119" s="5"/>
      <c r="J119" s="5"/>
      <c r="K119" s="5"/>
      <c r="L119" s="5"/>
      <c r="M119" s="5"/>
      <c r="N119" s="5"/>
      <c r="O119" s="5"/>
      <c r="P119" s="5"/>
      <c r="Q119" s="5"/>
      <c r="R119" s="36" t="s">
        <v>2324</v>
      </c>
      <c r="S119" s="36" t="n">
        <f aca="false">SUM(P111:P117)/$S$110</f>
        <v>0.0222799227799228</v>
      </c>
    </row>
    <row r="120" customFormat="false" ht="13.5" hidden="false" customHeight="true" outlineLevel="0" collapsed="false">
      <c r="A120" s="5"/>
      <c r="B120" s="5"/>
      <c r="C120" s="5"/>
      <c r="D120" s="5"/>
      <c r="E120" s="5"/>
      <c r="F120" s="5"/>
      <c r="G120" s="5"/>
      <c r="H120" s="5"/>
      <c r="I120" s="5"/>
      <c r="J120" s="5"/>
      <c r="K120" s="5"/>
      <c r="L120" s="5"/>
      <c r="M120" s="5"/>
      <c r="N120" s="5"/>
      <c r="O120" s="5"/>
      <c r="P120" s="5"/>
      <c r="Q120" s="5"/>
      <c r="R120" s="36" t="s">
        <v>2325</v>
      </c>
      <c r="S120" s="36" t="str">
        <f aca="false">IF(S119&lt;=$S$111,"PASS","FAIL")</f>
        <v>PASS</v>
      </c>
    </row>
    <row r="121" customFormat="false" ht="13.5" hidden="false" customHeight="true" outlineLevel="0" collapsed="false">
      <c r="A121" s="5"/>
      <c r="B121" s="5"/>
      <c r="C121" s="5"/>
      <c r="D121" s="5"/>
      <c r="E121" s="5"/>
      <c r="F121" s="5"/>
      <c r="G121" s="5"/>
      <c r="H121" s="5"/>
      <c r="I121" s="5"/>
      <c r="J121" s="5"/>
      <c r="K121" s="5"/>
      <c r="L121" s="5"/>
      <c r="M121" s="36" t="s">
        <v>2326</v>
      </c>
      <c r="N121" s="36" t="s">
        <v>879</v>
      </c>
      <c r="O121" s="36" t="s">
        <v>904</v>
      </c>
      <c r="P121" s="5"/>
      <c r="Q121" s="5"/>
      <c r="R121" s="5"/>
      <c r="S121" s="5"/>
    </row>
    <row r="122" customFormat="false" ht="13.5" hidden="false" customHeight="true" outlineLevel="0" collapsed="false">
      <c r="A122" s="5"/>
      <c r="B122" s="5"/>
      <c r="C122" s="5"/>
      <c r="D122" s="5"/>
      <c r="E122" s="5"/>
      <c r="F122" s="5"/>
      <c r="G122" s="5"/>
      <c r="H122" s="5"/>
      <c r="I122" s="5"/>
      <c r="J122" s="5"/>
      <c r="K122" s="5"/>
      <c r="L122" s="5"/>
      <c r="M122" s="36" t="s">
        <v>2327</v>
      </c>
      <c r="N122" s="36" t="str">
        <f aca="false">S120</f>
        <v>PASS</v>
      </c>
      <c r="O122" s="36" t="str">
        <f aca="false">S142</f>
        <v>PASS</v>
      </c>
      <c r="P122" s="5"/>
      <c r="Q122" s="5"/>
      <c r="R122" s="5"/>
      <c r="S122" s="5"/>
    </row>
    <row r="123" customFormat="false" ht="13.5" hidden="false" customHeight="true" outlineLevel="0" collapsed="false">
      <c r="A123" s="5"/>
      <c r="B123" s="5"/>
      <c r="C123" s="5"/>
      <c r="D123" s="5"/>
      <c r="E123" s="5"/>
      <c r="F123" s="5"/>
      <c r="G123" s="5"/>
      <c r="H123" s="5"/>
      <c r="I123" s="5"/>
      <c r="J123" s="5"/>
      <c r="K123" s="5"/>
      <c r="L123" s="5"/>
      <c r="M123" s="5"/>
      <c r="N123" s="36" t="str">
        <f aca="false">S162</f>
        <v>PASS</v>
      </c>
      <c r="O123" s="36" t="str">
        <f aca="false">S175</f>
        <v>PASS</v>
      </c>
      <c r="P123" s="5"/>
      <c r="Q123" s="5"/>
      <c r="R123" s="5"/>
      <c r="S123" s="5"/>
    </row>
    <row r="124" customFormat="false" ht="13.5" hidden="false" customHeight="true" outlineLevel="0" collapsed="false">
      <c r="A124" s="5"/>
      <c r="B124" s="5"/>
      <c r="C124" s="5"/>
      <c r="D124" s="5"/>
      <c r="E124" s="5"/>
      <c r="F124" s="5"/>
      <c r="G124" s="5"/>
      <c r="H124" s="5"/>
      <c r="I124" s="5"/>
      <c r="J124" s="5"/>
      <c r="K124" s="5"/>
      <c r="L124" s="5"/>
      <c r="M124" s="5"/>
      <c r="N124" s="5"/>
      <c r="O124" s="5"/>
      <c r="P124" s="5"/>
      <c r="Q124" s="5"/>
      <c r="R124" s="5"/>
      <c r="S124" s="5"/>
    </row>
    <row r="125" customFormat="false" ht="13.5" hidden="false" customHeight="true" outlineLevel="0" collapsed="false">
      <c r="A125" s="5"/>
      <c r="B125" s="5"/>
      <c r="C125" s="5"/>
      <c r="D125" s="5"/>
      <c r="E125" s="5"/>
      <c r="F125" s="5"/>
      <c r="G125" s="5"/>
      <c r="H125" s="5"/>
      <c r="I125" s="5"/>
      <c r="J125" s="5"/>
      <c r="K125" s="5"/>
      <c r="L125" s="5"/>
      <c r="M125" s="5"/>
      <c r="N125" s="5"/>
      <c r="O125" s="5"/>
      <c r="P125" s="5"/>
      <c r="Q125" s="5"/>
      <c r="R125" s="5"/>
      <c r="S125" s="5"/>
    </row>
    <row r="126" customFormat="false" ht="13.5" hidden="false" customHeight="true" outlineLevel="0" collapsed="false">
      <c r="A126" s="5"/>
      <c r="B126" s="5"/>
      <c r="C126" s="5"/>
      <c r="D126" s="5"/>
      <c r="E126" s="5"/>
      <c r="F126" s="5"/>
      <c r="G126" s="5"/>
      <c r="H126" s="5"/>
      <c r="I126" s="5"/>
      <c r="J126" s="5"/>
      <c r="K126" s="5"/>
      <c r="L126" s="5"/>
      <c r="M126" s="5"/>
      <c r="N126" s="5"/>
      <c r="O126" s="5"/>
      <c r="P126" s="5"/>
      <c r="Q126" s="5"/>
      <c r="R126" s="5"/>
      <c r="S126" s="5"/>
    </row>
    <row r="127" customFormat="false" ht="13.5" hidden="false" customHeight="true" outlineLevel="0" collapsed="false">
      <c r="A127" s="5"/>
      <c r="B127" s="5"/>
      <c r="C127" s="5"/>
      <c r="D127" s="5"/>
      <c r="E127" s="5"/>
      <c r="F127" s="5"/>
      <c r="G127" s="5"/>
      <c r="H127" s="5"/>
      <c r="I127" s="5"/>
      <c r="J127" s="5"/>
      <c r="K127" s="5"/>
      <c r="L127" s="5"/>
      <c r="M127" s="5"/>
      <c r="N127" s="5"/>
      <c r="O127" s="5"/>
      <c r="P127" s="5"/>
      <c r="Q127" s="5"/>
      <c r="R127" s="5"/>
      <c r="S127" s="5"/>
    </row>
    <row r="128" customFormat="false" ht="13.5" hidden="false" customHeight="true" outlineLevel="0" collapsed="false">
      <c r="A128" s="5"/>
      <c r="B128" s="5"/>
      <c r="C128" s="5"/>
      <c r="D128" s="5"/>
      <c r="E128" s="5"/>
      <c r="F128" s="5"/>
      <c r="G128" s="5"/>
      <c r="H128" s="5"/>
      <c r="I128" s="5"/>
      <c r="J128" s="5"/>
      <c r="K128" s="5"/>
      <c r="L128" s="5"/>
      <c r="M128" s="5"/>
      <c r="N128" s="5"/>
      <c r="O128" s="5"/>
      <c r="P128" s="5"/>
      <c r="Q128" s="5"/>
      <c r="R128" s="5"/>
      <c r="S128" s="5"/>
    </row>
    <row r="129" customFormat="false" ht="13.5" hidden="false" customHeight="true" outlineLevel="0" collapsed="false">
      <c r="A129" s="5"/>
      <c r="B129" s="5"/>
      <c r="C129" s="5"/>
      <c r="D129" s="5"/>
      <c r="E129" s="5"/>
      <c r="F129" s="5"/>
      <c r="G129" s="5"/>
      <c r="H129" s="5"/>
      <c r="I129" s="5"/>
      <c r="J129" s="5"/>
      <c r="K129" s="5"/>
      <c r="L129" s="5"/>
      <c r="M129" s="5"/>
      <c r="N129" s="5"/>
      <c r="O129" s="5"/>
      <c r="P129" s="5"/>
      <c r="Q129" s="5"/>
      <c r="R129" s="5"/>
      <c r="S129" s="5"/>
    </row>
    <row r="130" customFormat="false" ht="13.5" hidden="false" customHeight="true" outlineLevel="0" collapsed="false">
      <c r="A130" s="5"/>
      <c r="B130" s="5"/>
      <c r="C130" s="5"/>
      <c r="D130" s="5"/>
      <c r="E130" s="5"/>
      <c r="F130" s="5"/>
      <c r="G130" s="5"/>
      <c r="H130" s="5"/>
      <c r="I130" s="5"/>
      <c r="J130" s="5"/>
      <c r="K130" s="5"/>
      <c r="L130" s="5"/>
      <c r="M130" s="5"/>
      <c r="N130" s="5"/>
      <c r="O130" s="5"/>
      <c r="P130" s="5"/>
      <c r="Q130" s="5"/>
      <c r="R130" s="5"/>
      <c r="S130" s="5"/>
    </row>
    <row r="131" customFormat="false" ht="13.5" hidden="false" customHeight="true" outlineLevel="0" collapsed="false">
      <c r="A131" s="5"/>
      <c r="B131" s="5"/>
      <c r="C131" s="5"/>
      <c r="D131" s="5"/>
      <c r="E131" s="5"/>
      <c r="F131" s="5"/>
      <c r="G131" s="5"/>
      <c r="H131" s="5"/>
      <c r="I131" s="5"/>
      <c r="J131" s="36" t="s">
        <v>2328</v>
      </c>
      <c r="K131" s="5"/>
      <c r="L131" s="5"/>
      <c r="M131" s="5"/>
      <c r="N131" s="5"/>
      <c r="O131" s="5"/>
      <c r="P131" s="5"/>
      <c r="Q131" s="5"/>
      <c r="R131" s="5"/>
      <c r="S131" s="5"/>
    </row>
    <row r="132" customFormat="false" ht="13.5" hidden="false" customHeight="true" outlineLevel="0" collapsed="false">
      <c r="A132" s="5"/>
      <c r="B132" s="5"/>
      <c r="C132" s="5"/>
      <c r="D132" s="5"/>
      <c r="E132" s="5"/>
      <c r="F132" s="5"/>
      <c r="G132" s="5"/>
      <c r="H132" s="5"/>
      <c r="I132" s="5"/>
      <c r="J132" s="36" t="s">
        <v>1488</v>
      </c>
      <c r="K132" s="36" t="s">
        <v>930</v>
      </c>
      <c r="L132" s="36" t="s">
        <v>932</v>
      </c>
      <c r="M132" s="36" t="s">
        <v>2322</v>
      </c>
      <c r="N132" s="36" t="s">
        <v>1491</v>
      </c>
      <c r="O132" s="36" t="s">
        <v>1492</v>
      </c>
      <c r="P132" s="36" t="s">
        <v>867</v>
      </c>
      <c r="Q132" s="5"/>
      <c r="R132" s="5"/>
      <c r="S132" s="5"/>
    </row>
    <row r="133" customFormat="false" ht="13.5" hidden="false" customHeight="true" outlineLevel="0" collapsed="false">
      <c r="A133" s="5"/>
      <c r="B133" s="5"/>
      <c r="C133" s="5"/>
      <c r="D133" s="5"/>
      <c r="E133" s="5"/>
      <c r="F133" s="5"/>
      <c r="G133" s="5"/>
      <c r="H133" s="5"/>
      <c r="I133" s="5"/>
      <c r="J133" s="36" t="n">
        <v>1</v>
      </c>
      <c r="K133" s="36" t="str">
        <f aca="false">TRC!B31</f>
        <v>S03</v>
      </c>
      <c r="L133" s="36" t="n">
        <f aca="false">TRC!C31</f>
        <v>0.0315</v>
      </c>
      <c r="M133" s="36" t="n">
        <f aca="false">VLOOKUP(K133,$J$101:$M$107,4,FALSE())</f>
        <v>0.0926640926640927</v>
      </c>
      <c r="N133" s="36" t="n">
        <f aca="false">M133</f>
        <v>0.0926640926640927</v>
      </c>
      <c r="O133" s="36" t="n">
        <f aca="false">MIN(M133,$S$110)</f>
        <v>0.05</v>
      </c>
      <c r="P133" s="36" t="n">
        <f aca="false">O133*L133</f>
        <v>0.001575</v>
      </c>
      <c r="Q133" s="5"/>
      <c r="R133" s="5"/>
      <c r="S133" s="5"/>
    </row>
    <row r="134" customFormat="false" ht="13.5" hidden="false" customHeight="true" outlineLevel="0" collapsed="false">
      <c r="A134" s="5"/>
      <c r="B134" s="5"/>
      <c r="C134" s="5"/>
      <c r="D134" s="5"/>
      <c r="E134" s="5"/>
      <c r="F134" s="5"/>
      <c r="G134" s="5"/>
      <c r="H134" s="5"/>
      <c r="I134" s="5"/>
      <c r="J134" s="36" t="n">
        <v>2</v>
      </c>
      <c r="K134" s="36" t="str">
        <f aca="false">TRC!B32</f>
        <v>S04</v>
      </c>
      <c r="L134" s="36" t="n">
        <f aca="false">TRC!C32</f>
        <v>0.0235</v>
      </c>
      <c r="M134" s="36" t="n">
        <f aca="false">VLOOKUP(K134,$J$101:$M$107,4,FALSE())</f>
        <v>0.0810810810810811</v>
      </c>
      <c r="N134" s="36" t="n">
        <f aca="false">N133+M134</f>
        <v>0.173745173745174</v>
      </c>
      <c r="O134" s="36" t="n">
        <f aca="false">MAX(0,MIN(M134,$S$110-N133))</f>
        <v>0</v>
      </c>
      <c r="P134" s="36" t="n">
        <f aca="false">O134*L134</f>
        <v>0</v>
      </c>
      <c r="Q134" s="5"/>
      <c r="R134" s="5"/>
      <c r="S134" s="5"/>
    </row>
    <row r="135" customFormat="false" ht="13.5" hidden="false" customHeight="true" outlineLevel="0" collapsed="false">
      <c r="A135" s="5"/>
      <c r="B135" s="5"/>
      <c r="C135" s="5"/>
      <c r="D135" s="5"/>
      <c r="E135" s="5"/>
      <c r="F135" s="5"/>
      <c r="G135" s="5"/>
      <c r="H135" s="5"/>
      <c r="I135" s="5"/>
      <c r="J135" s="36" t="n">
        <v>3</v>
      </c>
      <c r="K135" s="36" t="str">
        <f aca="false">TRC!B33</f>
        <v>S06</v>
      </c>
      <c r="L135" s="36" t="n">
        <f aca="false">TRC!C33</f>
        <v>0.02175</v>
      </c>
      <c r="M135" s="36" t="n">
        <f aca="false">VLOOKUP(K135,$J$101:$M$107,4,FALSE())</f>
        <v>0.0347490347490347</v>
      </c>
      <c r="N135" s="36" t="n">
        <f aca="false">N134+M135</f>
        <v>0.208494208494208</v>
      </c>
      <c r="O135" s="36" t="n">
        <f aca="false">MAX(0,MIN(M135,$S$110-N134))</f>
        <v>0</v>
      </c>
      <c r="P135" s="36" t="n">
        <f aca="false">O135*L135</f>
        <v>0</v>
      </c>
      <c r="Q135" s="5"/>
      <c r="R135" s="5"/>
      <c r="S135" s="5"/>
    </row>
    <row r="136" customFormat="false" ht="13.5" hidden="false" customHeight="true" outlineLevel="0" collapsed="false">
      <c r="A136" s="5"/>
      <c r="B136" s="5"/>
      <c r="C136" s="5"/>
      <c r="D136" s="5"/>
      <c r="E136" s="5"/>
      <c r="F136" s="5"/>
      <c r="G136" s="5"/>
      <c r="H136" s="5"/>
      <c r="I136" s="5"/>
      <c r="J136" s="36" t="n">
        <v>4</v>
      </c>
      <c r="K136" s="36" t="str">
        <f aca="false">TRC!B34</f>
        <v>S05</v>
      </c>
      <c r="L136" s="36" t="n">
        <f aca="false">TRC!C34</f>
        <v>0.0135</v>
      </c>
      <c r="M136" s="36" t="n">
        <f aca="false">VLOOKUP(K136,$J$101:$M$107,4,FALSE())</f>
        <v>0.0482625482625483</v>
      </c>
      <c r="N136" s="36" t="n">
        <f aca="false">N135+M136</f>
        <v>0.256756756756757</v>
      </c>
      <c r="O136" s="36" t="n">
        <f aca="false">MAX(0,MIN(M136,$S$110-N135))</f>
        <v>0</v>
      </c>
      <c r="P136" s="36" t="n">
        <f aca="false">O136*L136</f>
        <v>0</v>
      </c>
      <c r="Q136" s="5"/>
      <c r="R136" s="5"/>
      <c r="S136" s="5"/>
    </row>
    <row r="137" customFormat="false" ht="13.5" hidden="false" customHeight="true" outlineLevel="0" collapsed="false">
      <c r="A137" s="5"/>
      <c r="B137" s="5"/>
      <c r="C137" s="5"/>
      <c r="D137" s="5"/>
      <c r="E137" s="5"/>
      <c r="F137" s="5"/>
      <c r="G137" s="5"/>
      <c r="H137" s="5"/>
      <c r="I137" s="5"/>
      <c r="J137" s="36" t="n">
        <v>5</v>
      </c>
      <c r="K137" s="36" t="str">
        <f aca="false">TRC!B35</f>
        <v>S02</v>
      </c>
      <c r="L137" s="36" t="n">
        <f aca="false">TRC!C35</f>
        <v>0.0105</v>
      </c>
      <c r="M137" s="36" t="n">
        <f aca="false">VLOOKUP(K137,$J$101:$M$107,4,FALSE())</f>
        <v>0.144787644787645</v>
      </c>
      <c r="N137" s="36" t="n">
        <f aca="false">N136+M137</f>
        <v>0.401544401544402</v>
      </c>
      <c r="O137" s="36" t="n">
        <f aca="false">MAX(0,MIN(M137,$S$110-N136))</f>
        <v>0</v>
      </c>
      <c r="P137" s="36" t="n">
        <f aca="false">O137*L137</f>
        <v>0</v>
      </c>
      <c r="Q137" s="5"/>
      <c r="R137" s="5"/>
      <c r="S137" s="5"/>
    </row>
    <row r="138" customFormat="false" ht="13.5" hidden="false" customHeight="true" outlineLevel="0" collapsed="false">
      <c r="A138" s="5"/>
      <c r="B138" s="5"/>
      <c r="C138" s="5"/>
      <c r="D138" s="5"/>
      <c r="E138" s="5"/>
      <c r="F138" s="5"/>
      <c r="G138" s="5"/>
      <c r="H138" s="5"/>
      <c r="I138" s="5"/>
      <c r="J138" s="36" t="n">
        <v>6</v>
      </c>
      <c r="K138" s="36" t="str">
        <f aca="false">TRC!B36</f>
        <v>S07</v>
      </c>
      <c r="L138" s="36" t="n">
        <f aca="false">TRC!C36</f>
        <v>0.007</v>
      </c>
      <c r="M138" s="36" t="n">
        <f aca="false">VLOOKUP(K138,$J$101:$M$107,4,FALSE())</f>
        <v>0.0193050193050193</v>
      </c>
      <c r="N138" s="36" t="n">
        <f aca="false">N137+M138</f>
        <v>0.420849420849421</v>
      </c>
      <c r="O138" s="36" t="n">
        <f aca="false">MAX(0,MIN(M138,$S$110-N137))</f>
        <v>0</v>
      </c>
      <c r="P138" s="36" t="n">
        <f aca="false">O138*L138</f>
        <v>0</v>
      </c>
      <c r="Q138" s="5"/>
      <c r="R138" s="5"/>
      <c r="S138" s="5"/>
    </row>
    <row r="139" customFormat="false" ht="13.5" hidden="false" customHeight="true" outlineLevel="0" collapsed="false">
      <c r="A139" s="5"/>
      <c r="B139" s="5"/>
      <c r="C139" s="5"/>
      <c r="D139" s="5"/>
      <c r="E139" s="5"/>
      <c r="F139" s="5"/>
      <c r="G139" s="5"/>
      <c r="H139" s="5"/>
      <c r="I139" s="5"/>
      <c r="J139" s="36" t="n">
        <v>7</v>
      </c>
      <c r="K139" s="36" t="str">
        <f aca="false">TRC!B37</f>
        <v>S01</v>
      </c>
      <c r="L139" s="36" t="n">
        <f aca="false">TRC!C37</f>
        <v>0.003574</v>
      </c>
      <c r="M139" s="36" t="n">
        <f aca="false">VLOOKUP(K139,$J$101:$M$107,4,FALSE())</f>
        <v>0.579150579150579</v>
      </c>
      <c r="N139" s="36" t="n">
        <f aca="false">N138+M139</f>
        <v>1</v>
      </c>
      <c r="O139" s="36" t="n">
        <f aca="false">MAX(0,MIN(M139,$S$110-N138))</f>
        <v>0</v>
      </c>
      <c r="P139" s="36" t="n">
        <f aca="false">O139*L139</f>
        <v>0</v>
      </c>
      <c r="Q139" s="5"/>
      <c r="R139" s="5"/>
      <c r="S139" s="5"/>
    </row>
    <row r="140" customFormat="false" ht="13.5" hidden="false" customHeight="true" outlineLevel="0" collapsed="false">
      <c r="A140" s="5"/>
      <c r="B140" s="5"/>
      <c r="C140" s="5"/>
      <c r="D140" s="5"/>
      <c r="E140" s="5"/>
      <c r="F140" s="5"/>
      <c r="G140" s="5"/>
      <c r="H140" s="5"/>
      <c r="I140" s="5"/>
      <c r="J140" s="5"/>
      <c r="K140" s="5"/>
      <c r="L140" s="5"/>
      <c r="M140" s="5"/>
      <c r="N140" s="5"/>
      <c r="O140" s="5"/>
      <c r="P140" s="5"/>
      <c r="Q140" s="5"/>
      <c r="R140" s="5"/>
      <c r="S140" s="5"/>
    </row>
    <row r="141" customFormat="false" ht="13.5" hidden="false" customHeight="true" outlineLevel="0" collapsed="false">
      <c r="A141" s="5"/>
      <c r="B141" s="5"/>
      <c r="C141" s="5"/>
      <c r="D141" s="5"/>
      <c r="E141" s="5"/>
      <c r="F141" s="5"/>
      <c r="G141" s="5"/>
      <c r="H141" s="5"/>
      <c r="I141" s="5"/>
      <c r="J141" s="5"/>
      <c r="K141" s="5"/>
      <c r="L141" s="5"/>
      <c r="M141" s="5"/>
      <c r="N141" s="5"/>
      <c r="O141" s="5"/>
      <c r="P141" s="5"/>
      <c r="Q141" s="5"/>
      <c r="R141" s="36" t="s">
        <v>2329</v>
      </c>
      <c r="S141" s="36" t="n">
        <f aca="false">SUM(P133:P139)/$S$110</f>
        <v>0.0315</v>
      </c>
    </row>
    <row r="142" customFormat="false" ht="13.5" hidden="false" customHeight="true" outlineLevel="0" collapsed="false">
      <c r="A142" s="5"/>
      <c r="B142" s="5"/>
      <c r="C142" s="5"/>
      <c r="D142" s="5"/>
      <c r="E142" s="5"/>
      <c r="F142" s="5"/>
      <c r="G142" s="5"/>
      <c r="H142" s="5"/>
      <c r="I142" s="5"/>
      <c r="J142" s="5"/>
      <c r="K142" s="5"/>
      <c r="L142" s="5"/>
      <c r="M142" s="5"/>
      <c r="N142" s="5"/>
      <c r="O142" s="5"/>
      <c r="P142" s="5"/>
      <c r="Q142" s="5"/>
      <c r="R142" s="36" t="s">
        <v>2330</v>
      </c>
      <c r="S142" s="36" t="str">
        <f aca="false">IF(S141&lt;=$S$111,"PASS","FAIL")</f>
        <v>PASS</v>
      </c>
    </row>
    <row r="143" customFormat="false" ht="13.5" hidden="false" customHeight="true" outlineLevel="0" collapsed="false">
      <c r="A143" s="5"/>
      <c r="B143" s="5"/>
      <c r="C143" s="5"/>
      <c r="D143" s="5"/>
      <c r="E143" s="5"/>
      <c r="F143" s="5"/>
      <c r="G143" s="5"/>
      <c r="H143" s="5"/>
      <c r="I143" s="5"/>
      <c r="J143" s="5"/>
      <c r="K143" s="5"/>
      <c r="L143" s="5"/>
      <c r="M143" s="5"/>
      <c r="N143" s="5"/>
      <c r="O143" s="5"/>
      <c r="P143" s="5"/>
      <c r="Q143" s="5"/>
      <c r="R143" s="5"/>
      <c r="S143" s="5"/>
    </row>
    <row r="144" customFormat="false" ht="13.5" hidden="false" customHeight="true" outlineLevel="0" collapsed="false">
      <c r="A144" s="5"/>
      <c r="B144" s="5"/>
      <c r="C144" s="5"/>
      <c r="D144" s="5"/>
      <c r="E144" s="5"/>
      <c r="F144" s="5"/>
      <c r="G144" s="5"/>
      <c r="H144" s="5"/>
      <c r="I144" s="5"/>
      <c r="J144" s="5"/>
      <c r="K144" s="5"/>
      <c r="L144" s="5"/>
      <c r="M144" s="5"/>
      <c r="N144" s="5"/>
      <c r="O144" s="5"/>
      <c r="P144" s="5"/>
      <c r="Q144" s="5"/>
      <c r="R144" s="5"/>
      <c r="S144" s="5"/>
    </row>
    <row r="145" customFormat="false" ht="13.5" hidden="false" customHeight="true" outlineLevel="0" collapsed="false">
      <c r="A145" s="5"/>
      <c r="B145" s="5"/>
      <c r="C145" s="5"/>
      <c r="D145" s="5"/>
      <c r="E145" s="5"/>
      <c r="F145" s="5"/>
      <c r="G145" s="5"/>
      <c r="H145" s="5"/>
      <c r="I145" s="5"/>
      <c r="J145" s="5"/>
      <c r="K145" s="5"/>
      <c r="L145" s="5"/>
      <c r="M145" s="5"/>
      <c r="N145" s="5"/>
      <c r="O145" s="5"/>
      <c r="P145" s="5"/>
      <c r="Q145" s="5"/>
      <c r="R145" s="5"/>
      <c r="S145" s="5"/>
    </row>
    <row r="146" customFormat="false" ht="13.5" hidden="false" customHeight="true" outlineLevel="0" collapsed="false">
      <c r="A146" s="5"/>
      <c r="B146" s="5"/>
      <c r="C146" s="5"/>
      <c r="D146" s="5"/>
      <c r="E146" s="5"/>
      <c r="F146" s="5"/>
      <c r="G146" s="5"/>
      <c r="H146" s="5"/>
      <c r="I146" s="5"/>
      <c r="J146" s="5"/>
      <c r="K146" s="5"/>
      <c r="L146" s="5"/>
      <c r="M146" s="5"/>
      <c r="N146" s="5"/>
      <c r="O146" s="5"/>
      <c r="P146" s="5"/>
      <c r="Q146" s="5"/>
      <c r="R146" s="5"/>
      <c r="S146" s="5"/>
    </row>
    <row r="147" customFormat="false" ht="13.5" hidden="false" customHeight="true" outlineLevel="0" collapsed="false">
      <c r="A147" s="5"/>
      <c r="B147" s="5"/>
      <c r="C147" s="5"/>
      <c r="D147" s="5"/>
      <c r="E147" s="5"/>
      <c r="F147" s="5"/>
      <c r="G147" s="5"/>
      <c r="H147" s="5"/>
      <c r="I147" s="5"/>
      <c r="J147" s="5"/>
      <c r="K147" s="5"/>
      <c r="L147" s="5"/>
      <c r="M147" s="5"/>
      <c r="N147" s="5"/>
      <c r="O147" s="5"/>
      <c r="P147" s="5"/>
      <c r="Q147" s="5"/>
      <c r="R147" s="5"/>
      <c r="S147" s="5"/>
    </row>
    <row r="148" customFormat="false" ht="13.5" hidden="false" customHeight="true" outlineLevel="0" collapsed="false">
      <c r="A148" s="5"/>
      <c r="B148" s="5"/>
      <c r="C148" s="5"/>
      <c r="D148" s="5"/>
      <c r="E148" s="5"/>
      <c r="F148" s="5"/>
      <c r="G148" s="5"/>
      <c r="H148" s="5"/>
      <c r="I148" s="5"/>
      <c r="J148" s="5"/>
      <c r="K148" s="5"/>
      <c r="L148" s="5"/>
      <c r="M148" s="5"/>
      <c r="N148" s="5"/>
      <c r="O148" s="5"/>
      <c r="P148" s="5"/>
      <c r="Q148" s="5"/>
      <c r="R148" s="5"/>
      <c r="S148" s="5"/>
    </row>
    <row r="149" customFormat="false" ht="13.5" hidden="false" customHeight="true" outlineLevel="0" collapsed="false">
      <c r="A149" s="5"/>
      <c r="B149" s="5"/>
      <c r="C149" s="5"/>
      <c r="D149" s="5"/>
      <c r="E149" s="5"/>
      <c r="F149" s="5"/>
      <c r="G149" s="5"/>
      <c r="H149" s="5"/>
      <c r="I149" s="5"/>
      <c r="J149" s="5"/>
      <c r="K149" s="5"/>
      <c r="L149" s="5"/>
      <c r="M149" s="5"/>
      <c r="N149" s="5"/>
      <c r="O149" s="5"/>
      <c r="P149" s="5"/>
      <c r="Q149" s="5"/>
      <c r="R149" s="5"/>
      <c r="S149" s="5"/>
    </row>
    <row r="150" customFormat="false" ht="13.5" hidden="false" customHeight="true" outlineLevel="0" collapsed="false">
      <c r="A150" s="5"/>
      <c r="B150" s="5"/>
      <c r="C150" s="5"/>
      <c r="D150" s="5"/>
      <c r="E150" s="5"/>
      <c r="F150" s="5"/>
      <c r="G150" s="5"/>
      <c r="H150" s="5"/>
      <c r="I150" s="5"/>
      <c r="J150" s="5"/>
      <c r="K150" s="5"/>
      <c r="L150" s="5"/>
      <c r="M150" s="5"/>
      <c r="N150" s="5"/>
      <c r="O150" s="5"/>
      <c r="P150" s="5"/>
      <c r="Q150" s="5"/>
      <c r="R150" s="5"/>
      <c r="S150" s="5"/>
    </row>
    <row r="151" customFormat="false" ht="13.5" hidden="false" customHeight="true" outlineLevel="0" collapsed="false">
      <c r="A151" s="5"/>
      <c r="B151" s="5"/>
      <c r="C151" s="5"/>
      <c r="D151" s="5"/>
      <c r="E151" s="5"/>
      <c r="F151" s="5"/>
      <c r="G151" s="5"/>
      <c r="H151" s="5"/>
      <c r="I151" s="5"/>
      <c r="J151" s="36" t="s">
        <v>2331</v>
      </c>
      <c r="K151" s="5"/>
      <c r="L151" s="5"/>
      <c r="M151" s="5"/>
      <c r="N151" s="5"/>
      <c r="O151" s="5"/>
      <c r="P151" s="5"/>
      <c r="Q151" s="5"/>
      <c r="R151" s="5"/>
      <c r="S151" s="5"/>
    </row>
    <row r="152" customFormat="false" ht="13.5" hidden="false" customHeight="true" outlineLevel="0" collapsed="false">
      <c r="A152" s="5"/>
      <c r="B152" s="5"/>
      <c r="C152" s="5"/>
      <c r="D152" s="5"/>
      <c r="E152" s="5"/>
      <c r="F152" s="5"/>
      <c r="G152" s="5"/>
      <c r="H152" s="5"/>
      <c r="I152" s="5"/>
      <c r="J152" s="36" t="s">
        <v>1488</v>
      </c>
      <c r="K152" s="36" t="s">
        <v>930</v>
      </c>
      <c r="L152" s="36" t="s">
        <v>932</v>
      </c>
      <c r="M152" s="36" t="s">
        <v>2322</v>
      </c>
      <c r="N152" s="36" t="s">
        <v>1491</v>
      </c>
      <c r="O152" s="36" t="s">
        <v>1492</v>
      </c>
      <c r="P152" s="36" t="s">
        <v>867</v>
      </c>
      <c r="Q152" s="5"/>
      <c r="R152" s="5"/>
      <c r="S152" s="5"/>
    </row>
    <row r="153" customFormat="false" ht="13.5" hidden="false" customHeight="true" outlineLevel="0" collapsed="false">
      <c r="A153" s="5"/>
      <c r="B153" s="5"/>
      <c r="C153" s="5"/>
      <c r="D153" s="5"/>
      <c r="E153" s="5"/>
      <c r="F153" s="5"/>
      <c r="G153" s="5"/>
      <c r="H153" s="5"/>
      <c r="I153" s="5"/>
      <c r="J153" s="36" t="n">
        <v>1</v>
      </c>
      <c r="K153" s="36" t="str">
        <f aca="false">TRC!B15</f>
        <v>S06</v>
      </c>
      <c r="L153" s="36" t="n">
        <f aca="false">TRC!C15</f>
        <v>0.0235</v>
      </c>
      <c r="M153" s="36" t="n">
        <f aca="false">VLOOKUP(K153,$J$101:$O$107,6,FALSE())</f>
        <v>0.024896265560166</v>
      </c>
      <c r="N153" s="36" t="n">
        <f aca="false">M153</f>
        <v>0.024896265560166</v>
      </c>
      <c r="O153" s="36" t="n">
        <f aca="false">MIN(M153,$S$110)</f>
        <v>0.024896265560166</v>
      </c>
      <c r="P153" s="36" t="n">
        <f aca="false">O153*L153</f>
        <v>0.000585062240663901</v>
      </c>
      <c r="Q153" s="5"/>
      <c r="R153" s="5"/>
      <c r="S153" s="5"/>
    </row>
    <row r="154" customFormat="false" ht="13.5" hidden="false" customHeight="true" outlineLevel="0" collapsed="false">
      <c r="A154" s="5"/>
      <c r="B154" s="5"/>
      <c r="C154" s="5"/>
      <c r="D154" s="5"/>
      <c r="E154" s="5"/>
      <c r="F154" s="5"/>
      <c r="G154" s="5"/>
      <c r="H154" s="5"/>
      <c r="I154" s="5"/>
      <c r="J154" s="36" t="n">
        <v>2</v>
      </c>
      <c r="K154" s="36" t="str">
        <f aca="false">TRC!B16</f>
        <v>S04</v>
      </c>
      <c r="L154" s="36" t="n">
        <f aca="false">TRC!C16</f>
        <v>0.0195</v>
      </c>
      <c r="M154" s="36" t="n">
        <f aca="false">VLOOKUP(K154,$J$101:$O$107,6,FALSE())</f>
        <v>0.058091286307054</v>
      </c>
      <c r="N154" s="36" t="n">
        <f aca="false">N153+M154</f>
        <v>0.0829875518672199</v>
      </c>
      <c r="O154" s="36" t="n">
        <f aca="false">MAX(0,MIN(M154,$S$110-N153))</f>
        <v>0.025103734439834</v>
      </c>
      <c r="P154" s="36" t="n">
        <f aca="false">O154*L154</f>
        <v>0.000489522821576764</v>
      </c>
      <c r="Q154" s="5"/>
      <c r="R154" s="5"/>
      <c r="S154" s="5"/>
    </row>
    <row r="155" customFormat="false" ht="13.5" hidden="false" customHeight="true" outlineLevel="0" collapsed="false">
      <c r="A155" s="5"/>
      <c r="B155" s="5"/>
      <c r="C155" s="5"/>
      <c r="D155" s="5"/>
      <c r="E155" s="5"/>
      <c r="F155" s="5"/>
      <c r="G155" s="5"/>
      <c r="H155" s="5"/>
      <c r="I155" s="5"/>
      <c r="J155" s="36" t="n">
        <v>3</v>
      </c>
      <c r="K155" s="36" t="str">
        <f aca="false">TRC!B17</f>
        <v>S03</v>
      </c>
      <c r="L155" s="36" t="n">
        <f aca="false">TRC!C17</f>
        <v>0.0175</v>
      </c>
      <c r="M155" s="36" t="n">
        <f aca="false">VLOOKUP(K155,$J$101:$O$107,6,FALSE())</f>
        <v>0.0663900414937759</v>
      </c>
      <c r="N155" s="36" t="n">
        <f aca="false">N154+M155</f>
        <v>0.149377593360996</v>
      </c>
      <c r="O155" s="36" t="n">
        <f aca="false">MAX(0,MIN(M155,$S$110-N154))</f>
        <v>0</v>
      </c>
      <c r="P155" s="36" t="n">
        <f aca="false">O155*L155</f>
        <v>0</v>
      </c>
      <c r="Q155" s="5"/>
      <c r="R155" s="5"/>
      <c r="S155" s="5"/>
    </row>
    <row r="156" customFormat="false" ht="13.5" hidden="false" customHeight="true" outlineLevel="0" collapsed="false">
      <c r="A156" s="5"/>
      <c r="B156" s="5"/>
      <c r="C156" s="5"/>
      <c r="D156" s="5"/>
      <c r="E156" s="5"/>
      <c r="F156" s="5"/>
      <c r="G156" s="5"/>
      <c r="H156" s="5"/>
      <c r="I156" s="5"/>
      <c r="J156" s="36" t="n">
        <v>4</v>
      </c>
      <c r="K156" s="36" t="str">
        <f aca="false">TRC!B18</f>
        <v>S05</v>
      </c>
      <c r="L156" s="36" t="n">
        <f aca="false">TRC!C18</f>
        <v>0.0135</v>
      </c>
      <c r="M156" s="36" t="n">
        <f aca="false">VLOOKUP(K156,$J$101:$O$107,6,FALSE())</f>
        <v>0.0518672199170125</v>
      </c>
      <c r="N156" s="36" t="n">
        <f aca="false">N155+M156</f>
        <v>0.201244813278008</v>
      </c>
      <c r="O156" s="36" t="n">
        <f aca="false">MAX(0,MIN(M156,$S$110-N155))</f>
        <v>0</v>
      </c>
      <c r="P156" s="36" t="n">
        <f aca="false">O156*L156</f>
        <v>0</v>
      </c>
      <c r="Q156" s="5"/>
      <c r="R156" s="5"/>
      <c r="S156" s="5"/>
    </row>
    <row r="157" customFormat="false" ht="13.5" hidden="false" customHeight="true" outlineLevel="0" collapsed="false">
      <c r="A157" s="5"/>
      <c r="B157" s="5"/>
      <c r="C157" s="5"/>
      <c r="D157" s="5"/>
      <c r="E157" s="5"/>
      <c r="F157" s="5"/>
      <c r="G157" s="5"/>
      <c r="H157" s="5"/>
      <c r="I157" s="5"/>
      <c r="J157" s="36" t="n">
        <v>5</v>
      </c>
      <c r="K157" s="36" t="str">
        <f aca="false">TRC!B19</f>
        <v>S07</v>
      </c>
      <c r="L157" s="36" t="n">
        <f aca="false">TRC!C19</f>
        <v>0.01</v>
      </c>
      <c r="M157" s="36" t="n">
        <f aca="false">VLOOKUP(K157,$J$101:$O$107,6,FALSE())</f>
        <v>0.020746887966805</v>
      </c>
      <c r="N157" s="36" t="n">
        <f aca="false">N156+M157</f>
        <v>0.221991701244813</v>
      </c>
      <c r="O157" s="36" t="n">
        <f aca="false">MAX(0,MIN(M157,$S$110-N156))</f>
        <v>0</v>
      </c>
      <c r="P157" s="36" t="n">
        <f aca="false">O157*L157</f>
        <v>0</v>
      </c>
      <c r="Q157" s="5"/>
      <c r="R157" s="5"/>
      <c r="S157" s="5"/>
    </row>
    <row r="158" customFormat="false" ht="13.5" hidden="false" customHeight="true" outlineLevel="0" collapsed="false">
      <c r="A158" s="5"/>
      <c r="B158" s="5"/>
      <c r="C158" s="5"/>
      <c r="D158" s="5"/>
      <c r="E158" s="5"/>
      <c r="F158" s="5"/>
      <c r="G158" s="5"/>
      <c r="H158" s="5"/>
      <c r="I158" s="5"/>
      <c r="J158" s="36" t="n">
        <v>6</v>
      </c>
      <c r="K158" s="36" t="str">
        <f aca="false">TRC!B20</f>
        <v>S02</v>
      </c>
      <c r="L158" s="36" t="n">
        <f aca="false">TRC!C20</f>
        <v>0.007</v>
      </c>
      <c r="M158" s="36" t="n">
        <f aca="false">VLOOKUP(K158,$J$101:$O$107,6,FALSE())</f>
        <v>0.155601659751037</v>
      </c>
      <c r="N158" s="36" t="n">
        <f aca="false">N157+M158</f>
        <v>0.377593360995851</v>
      </c>
      <c r="O158" s="36" t="n">
        <f aca="false">MAX(0,MIN(M158,$S$110-N157))</f>
        <v>0</v>
      </c>
      <c r="P158" s="36" t="n">
        <f aca="false">O158*L158</f>
        <v>0</v>
      </c>
      <c r="Q158" s="5"/>
      <c r="R158" s="5"/>
      <c r="S158" s="5"/>
    </row>
    <row r="159" customFormat="false" ht="13.5" hidden="false" customHeight="true" outlineLevel="0" collapsed="false">
      <c r="A159" s="5"/>
      <c r="B159" s="5"/>
      <c r="C159" s="5"/>
      <c r="D159" s="5"/>
      <c r="E159" s="5"/>
      <c r="F159" s="5"/>
      <c r="G159" s="5"/>
      <c r="H159" s="5"/>
      <c r="I159" s="5"/>
      <c r="J159" s="36" t="n">
        <v>7</v>
      </c>
      <c r="K159" s="36" t="str">
        <f aca="false">TRC!B21</f>
        <v>S01</v>
      </c>
      <c r="L159" s="36" t="n">
        <f aca="false">TRC!C21</f>
        <v>0</v>
      </c>
      <c r="M159" s="36" t="n">
        <f aca="false">VLOOKUP(K159,$J$101:$O$107,6,FALSE())</f>
        <v>0.622406639004149</v>
      </c>
      <c r="N159" s="36" t="n">
        <f aca="false">N158+M159</f>
        <v>1</v>
      </c>
      <c r="O159" s="36" t="n">
        <f aca="false">MAX(0,MIN(M159,$S$110-N158))</f>
        <v>0</v>
      </c>
      <c r="P159" s="36" t="n">
        <f aca="false">O159*L159</f>
        <v>0</v>
      </c>
      <c r="Q159" s="5"/>
      <c r="R159" s="5"/>
      <c r="S159" s="5"/>
    </row>
    <row r="160" customFormat="false" ht="13.5" hidden="false" customHeight="true" outlineLevel="0" collapsed="false">
      <c r="A160" s="5"/>
      <c r="B160" s="5"/>
      <c r="C160" s="5"/>
      <c r="D160" s="5"/>
      <c r="E160" s="5"/>
      <c r="F160" s="5"/>
      <c r="G160" s="5"/>
      <c r="H160" s="5"/>
      <c r="I160" s="5"/>
      <c r="J160" s="5"/>
      <c r="K160" s="5"/>
      <c r="L160" s="5"/>
      <c r="M160" s="5"/>
      <c r="N160" s="5"/>
      <c r="O160" s="5"/>
      <c r="P160" s="5"/>
      <c r="Q160" s="5"/>
      <c r="R160" s="5"/>
      <c r="S160" s="5"/>
    </row>
    <row r="161" customFormat="false" ht="13.5" hidden="false" customHeight="true" outlineLevel="0" collapsed="false">
      <c r="A161" s="5"/>
      <c r="B161" s="5"/>
      <c r="C161" s="5"/>
      <c r="D161" s="5"/>
      <c r="E161" s="5"/>
      <c r="F161" s="5"/>
      <c r="G161" s="5"/>
      <c r="H161" s="5"/>
      <c r="I161" s="5"/>
      <c r="J161" s="5"/>
      <c r="K161" s="5"/>
      <c r="L161" s="5"/>
      <c r="M161" s="5"/>
      <c r="N161" s="5"/>
      <c r="O161" s="5"/>
      <c r="P161" s="5"/>
      <c r="Q161" s="5"/>
      <c r="R161" s="36" t="s">
        <v>2332</v>
      </c>
      <c r="S161" s="36" t="n">
        <f aca="false">SUM(P153:P159)/$S$110</f>
        <v>0.0214917012448133</v>
      </c>
    </row>
    <row r="162" customFormat="false" ht="13.5" hidden="false" customHeight="true" outlineLevel="0" collapsed="false">
      <c r="A162" s="5"/>
      <c r="B162" s="5"/>
      <c r="C162" s="5"/>
      <c r="D162" s="5"/>
      <c r="E162" s="5"/>
      <c r="F162" s="5"/>
      <c r="G162" s="5"/>
      <c r="H162" s="5"/>
      <c r="I162" s="5"/>
      <c r="J162" s="5"/>
      <c r="K162" s="5"/>
      <c r="L162" s="5"/>
      <c r="M162" s="5"/>
      <c r="N162" s="5"/>
      <c r="O162" s="5"/>
      <c r="P162" s="5"/>
      <c r="Q162" s="5"/>
      <c r="R162" s="36" t="s">
        <v>2333</v>
      </c>
      <c r="S162" s="36" t="str">
        <f aca="false">IF(S161&lt;=$S$111,"PASS","FAIL")</f>
        <v>PASS</v>
      </c>
    </row>
    <row r="163" customFormat="false" ht="13.5" hidden="false" customHeight="true" outlineLevel="0" collapsed="false">
      <c r="A163" s="5"/>
      <c r="B163" s="5"/>
      <c r="C163" s="5"/>
      <c r="D163" s="5"/>
      <c r="E163" s="5"/>
      <c r="F163" s="5"/>
      <c r="G163" s="5"/>
      <c r="H163" s="5"/>
      <c r="I163" s="5"/>
      <c r="J163" s="5"/>
      <c r="K163" s="5"/>
      <c r="L163" s="5"/>
      <c r="M163" s="5"/>
      <c r="N163" s="5"/>
      <c r="O163" s="5"/>
      <c r="P163" s="5"/>
      <c r="Q163" s="5"/>
      <c r="R163" s="5"/>
      <c r="S163" s="5"/>
    </row>
    <row r="164" customFormat="false" ht="13.5" hidden="false" customHeight="true" outlineLevel="0" collapsed="false">
      <c r="A164" s="5"/>
      <c r="B164" s="5"/>
      <c r="C164" s="5"/>
      <c r="D164" s="5"/>
      <c r="E164" s="5"/>
      <c r="F164" s="5"/>
      <c r="G164" s="5"/>
      <c r="H164" s="5"/>
      <c r="I164" s="5"/>
      <c r="J164" s="36" t="s">
        <v>2334</v>
      </c>
      <c r="K164" s="5"/>
      <c r="L164" s="5"/>
      <c r="M164" s="5"/>
      <c r="N164" s="5"/>
      <c r="O164" s="5"/>
      <c r="P164" s="5"/>
      <c r="Q164" s="5"/>
      <c r="R164" s="5"/>
      <c r="S164" s="5"/>
    </row>
    <row r="165" customFormat="false" ht="13.5" hidden="false" customHeight="true" outlineLevel="0" collapsed="false">
      <c r="A165" s="5"/>
      <c r="B165" s="5"/>
      <c r="C165" s="5"/>
      <c r="D165" s="5"/>
      <c r="E165" s="5"/>
      <c r="F165" s="5"/>
      <c r="G165" s="5"/>
      <c r="H165" s="5"/>
      <c r="I165" s="5"/>
      <c r="J165" s="36" t="s">
        <v>1488</v>
      </c>
      <c r="K165" s="36" t="s">
        <v>930</v>
      </c>
      <c r="L165" s="36" t="s">
        <v>932</v>
      </c>
      <c r="M165" s="36" t="s">
        <v>2322</v>
      </c>
      <c r="N165" s="36" t="s">
        <v>1491</v>
      </c>
      <c r="O165" s="36" t="s">
        <v>1492</v>
      </c>
      <c r="P165" s="36" t="s">
        <v>867</v>
      </c>
      <c r="Q165" s="5"/>
      <c r="R165" s="5"/>
      <c r="S165" s="5"/>
    </row>
    <row r="166" customFormat="false" ht="13.5" hidden="false" customHeight="true" outlineLevel="0" collapsed="false">
      <c r="A166" s="5"/>
      <c r="B166" s="5"/>
      <c r="C166" s="5"/>
      <c r="D166" s="5"/>
      <c r="E166" s="5"/>
      <c r="F166" s="5"/>
      <c r="G166" s="5"/>
      <c r="H166" s="5"/>
      <c r="I166" s="5"/>
      <c r="J166" s="36" t="n">
        <v>1</v>
      </c>
      <c r="K166" s="36" t="str">
        <f aca="false">TRC!B31</f>
        <v>S03</v>
      </c>
      <c r="L166" s="36" t="n">
        <f aca="false">TRC!C31</f>
        <v>0.0315</v>
      </c>
      <c r="M166" s="36" t="n">
        <f aca="false">VLOOKUP(K166,$J$101:$O$107,6,FALSE())</f>
        <v>0.0663900414937759</v>
      </c>
      <c r="N166" s="36" t="n">
        <f aca="false">M166</f>
        <v>0.0663900414937759</v>
      </c>
      <c r="O166" s="36" t="n">
        <f aca="false">MIN(M166,$S$110)</f>
        <v>0.05</v>
      </c>
      <c r="P166" s="36" t="n">
        <f aca="false">O166*L166</f>
        <v>0.001575</v>
      </c>
      <c r="Q166" s="5"/>
      <c r="R166" s="5"/>
      <c r="S166" s="5"/>
    </row>
    <row r="167" customFormat="false" ht="13.5" hidden="false" customHeight="true" outlineLevel="0" collapsed="false">
      <c r="A167" s="5"/>
      <c r="B167" s="5"/>
      <c r="C167" s="5"/>
      <c r="D167" s="5"/>
      <c r="E167" s="5"/>
      <c r="F167" s="5"/>
      <c r="G167" s="5"/>
      <c r="H167" s="5"/>
      <c r="I167" s="5"/>
      <c r="J167" s="36" t="n">
        <v>2</v>
      </c>
      <c r="K167" s="36" t="str">
        <f aca="false">TRC!B32</f>
        <v>S04</v>
      </c>
      <c r="L167" s="36" t="n">
        <f aca="false">TRC!C32</f>
        <v>0.0235</v>
      </c>
      <c r="M167" s="36" t="n">
        <f aca="false">VLOOKUP(K167,$J$101:$O$107,6,FALSE())</f>
        <v>0.058091286307054</v>
      </c>
      <c r="N167" s="36" t="n">
        <f aca="false">N166+M167</f>
        <v>0.12448132780083</v>
      </c>
      <c r="O167" s="36" t="n">
        <f aca="false">MAX(0,MIN(M167,$S$110-N166))</f>
        <v>0</v>
      </c>
      <c r="P167" s="36" t="n">
        <f aca="false">O167*L167</f>
        <v>0</v>
      </c>
      <c r="Q167" s="5"/>
      <c r="R167" s="5"/>
      <c r="S167" s="5"/>
    </row>
    <row r="168" customFormat="false" ht="13.5" hidden="false" customHeight="true" outlineLevel="0" collapsed="false">
      <c r="A168" s="5"/>
      <c r="B168" s="5"/>
      <c r="C168" s="5"/>
      <c r="D168" s="5"/>
      <c r="E168" s="5"/>
      <c r="F168" s="5"/>
      <c r="G168" s="5"/>
      <c r="H168" s="5"/>
      <c r="I168" s="5"/>
      <c r="J168" s="36" t="n">
        <v>3</v>
      </c>
      <c r="K168" s="36" t="str">
        <f aca="false">TRC!B33</f>
        <v>S06</v>
      </c>
      <c r="L168" s="36" t="n">
        <f aca="false">TRC!C33</f>
        <v>0.02175</v>
      </c>
      <c r="M168" s="36" t="n">
        <f aca="false">VLOOKUP(K168,$J$101:$O$107,6,FALSE())</f>
        <v>0.024896265560166</v>
      </c>
      <c r="N168" s="36" t="n">
        <f aca="false">N167+M168</f>
        <v>0.149377593360996</v>
      </c>
      <c r="O168" s="36" t="n">
        <f aca="false">MAX(0,MIN(M168,$S$110-N167))</f>
        <v>0</v>
      </c>
      <c r="P168" s="36" t="n">
        <f aca="false">O168*L168</f>
        <v>0</v>
      </c>
      <c r="Q168" s="5"/>
      <c r="R168" s="5"/>
      <c r="S168" s="5"/>
    </row>
    <row r="169" customFormat="false" ht="13.5" hidden="false" customHeight="true" outlineLevel="0" collapsed="false">
      <c r="A169" s="5"/>
      <c r="B169" s="5"/>
      <c r="C169" s="5"/>
      <c r="D169" s="5"/>
      <c r="E169" s="5"/>
      <c r="F169" s="5"/>
      <c r="G169" s="5"/>
      <c r="H169" s="5"/>
      <c r="I169" s="5"/>
      <c r="J169" s="36" t="n">
        <v>4</v>
      </c>
      <c r="K169" s="36" t="str">
        <f aca="false">TRC!B34</f>
        <v>S05</v>
      </c>
      <c r="L169" s="36" t="n">
        <f aca="false">TRC!C34</f>
        <v>0.0135</v>
      </c>
      <c r="M169" s="36" t="n">
        <f aca="false">VLOOKUP(K169,$J$101:$O$107,6,FALSE())</f>
        <v>0.0518672199170125</v>
      </c>
      <c r="N169" s="36" t="n">
        <f aca="false">N168+M169</f>
        <v>0.201244813278008</v>
      </c>
      <c r="O169" s="36" t="n">
        <f aca="false">MAX(0,MIN(M169,$S$110-N168))</f>
        <v>0</v>
      </c>
      <c r="P169" s="36" t="n">
        <f aca="false">O169*L169</f>
        <v>0</v>
      </c>
      <c r="Q169" s="5"/>
      <c r="R169" s="5"/>
      <c r="S169" s="5"/>
    </row>
    <row r="170" customFormat="false" ht="13.5" hidden="false" customHeight="true" outlineLevel="0" collapsed="false">
      <c r="A170" s="5"/>
      <c r="B170" s="5"/>
      <c r="C170" s="5"/>
      <c r="D170" s="5"/>
      <c r="E170" s="5"/>
      <c r="F170" s="5"/>
      <c r="G170" s="5"/>
      <c r="H170" s="5"/>
      <c r="I170" s="5"/>
      <c r="J170" s="36" t="n">
        <v>5</v>
      </c>
      <c r="K170" s="36" t="str">
        <f aca="false">TRC!B35</f>
        <v>S02</v>
      </c>
      <c r="L170" s="36" t="n">
        <f aca="false">TRC!C35</f>
        <v>0.0105</v>
      </c>
      <c r="M170" s="36" t="n">
        <f aca="false">VLOOKUP(K170,$J$101:$O$107,6,FALSE())</f>
        <v>0.155601659751037</v>
      </c>
      <c r="N170" s="36" t="n">
        <f aca="false">N169+M170</f>
        <v>0.356846473029046</v>
      </c>
      <c r="O170" s="36" t="n">
        <f aca="false">MAX(0,MIN(M170,$S$110-N169))</f>
        <v>0</v>
      </c>
      <c r="P170" s="36" t="n">
        <f aca="false">O170*L170</f>
        <v>0</v>
      </c>
      <c r="Q170" s="5"/>
      <c r="R170" s="5"/>
      <c r="S170" s="5"/>
    </row>
    <row r="171" customFormat="false" ht="13.5" hidden="false" customHeight="true" outlineLevel="0" collapsed="false">
      <c r="A171" s="5"/>
      <c r="B171" s="5"/>
      <c r="C171" s="5"/>
      <c r="D171" s="5"/>
      <c r="E171" s="5"/>
      <c r="F171" s="5"/>
      <c r="G171" s="5"/>
      <c r="H171" s="5"/>
      <c r="I171" s="5"/>
      <c r="J171" s="36" t="n">
        <v>6</v>
      </c>
      <c r="K171" s="36" t="str">
        <f aca="false">TRC!B36</f>
        <v>S07</v>
      </c>
      <c r="L171" s="36" t="n">
        <f aca="false">TRC!C36</f>
        <v>0.007</v>
      </c>
      <c r="M171" s="36" t="n">
        <f aca="false">VLOOKUP(K171,$J$101:$O$107,6,FALSE())</f>
        <v>0.020746887966805</v>
      </c>
      <c r="N171" s="36" t="n">
        <f aca="false">N170+M171</f>
        <v>0.377593360995851</v>
      </c>
      <c r="O171" s="36" t="n">
        <f aca="false">MAX(0,MIN(M171,$S$110-N170))</f>
        <v>0</v>
      </c>
      <c r="P171" s="36" t="n">
        <f aca="false">O171*L171</f>
        <v>0</v>
      </c>
      <c r="Q171" s="5"/>
      <c r="R171" s="5"/>
      <c r="S171" s="5"/>
    </row>
    <row r="172" customFormat="false" ht="13.5" hidden="false" customHeight="true" outlineLevel="0" collapsed="false">
      <c r="A172" s="5"/>
      <c r="B172" s="5"/>
      <c r="C172" s="5"/>
      <c r="D172" s="5"/>
      <c r="E172" s="5"/>
      <c r="F172" s="5"/>
      <c r="G172" s="5"/>
      <c r="H172" s="5"/>
      <c r="I172" s="5"/>
      <c r="J172" s="36" t="n">
        <v>7</v>
      </c>
      <c r="K172" s="36" t="str">
        <f aca="false">TRC!B37</f>
        <v>S01</v>
      </c>
      <c r="L172" s="36" t="n">
        <f aca="false">TRC!C37</f>
        <v>0.003574</v>
      </c>
      <c r="M172" s="36" t="n">
        <f aca="false">VLOOKUP(K172,$J$101:$O$107,6,FALSE())</f>
        <v>0.622406639004149</v>
      </c>
      <c r="N172" s="36" t="n">
        <f aca="false">N171+M172</f>
        <v>1</v>
      </c>
      <c r="O172" s="36" t="n">
        <f aca="false">MAX(0,MIN(M172,$S$110-N171))</f>
        <v>0</v>
      </c>
      <c r="P172" s="36" t="n">
        <f aca="false">O172*L172</f>
        <v>0</v>
      </c>
      <c r="Q172" s="5"/>
      <c r="R172" s="5"/>
      <c r="S172" s="5"/>
    </row>
    <row r="173" customFormat="false" ht="13.5" hidden="false" customHeight="true" outlineLevel="0" collapsed="false">
      <c r="A173" s="5"/>
      <c r="B173" s="5"/>
      <c r="C173" s="5"/>
      <c r="D173" s="5"/>
      <c r="E173" s="5"/>
      <c r="F173" s="5"/>
      <c r="G173" s="5"/>
      <c r="H173" s="5"/>
      <c r="I173" s="5"/>
      <c r="J173" s="5"/>
      <c r="K173" s="5"/>
      <c r="L173" s="5"/>
      <c r="M173" s="5"/>
      <c r="N173" s="5"/>
      <c r="O173" s="5"/>
      <c r="P173" s="5"/>
      <c r="Q173" s="5"/>
      <c r="R173" s="5"/>
      <c r="S173" s="5"/>
    </row>
    <row r="174" customFormat="false" ht="13.5" hidden="false" customHeight="true" outlineLevel="0" collapsed="false">
      <c r="A174" s="5"/>
      <c r="B174" s="5"/>
      <c r="C174" s="5"/>
      <c r="D174" s="5"/>
      <c r="E174" s="5"/>
      <c r="F174" s="5"/>
      <c r="G174" s="5"/>
      <c r="H174" s="5"/>
      <c r="I174" s="5"/>
      <c r="J174" s="5"/>
      <c r="K174" s="5"/>
      <c r="L174" s="5"/>
      <c r="M174" s="5"/>
      <c r="N174" s="5"/>
      <c r="O174" s="5"/>
      <c r="P174" s="5"/>
      <c r="Q174" s="5"/>
      <c r="R174" s="36" t="s">
        <v>2335</v>
      </c>
      <c r="S174" s="36" t="n">
        <f aca="false">SUM(P166:P172)/$S$110</f>
        <v>0.0315</v>
      </c>
    </row>
    <row r="175" customFormat="false" ht="13.5" hidden="false" customHeight="true" outlineLevel="0" collapsed="false">
      <c r="A175" s="5"/>
      <c r="B175" s="5"/>
      <c r="C175" s="5"/>
      <c r="D175" s="5"/>
      <c r="E175" s="5"/>
      <c r="F175" s="5"/>
      <c r="G175" s="5"/>
      <c r="H175" s="5"/>
      <c r="I175" s="5"/>
      <c r="J175" s="5"/>
      <c r="K175" s="5"/>
      <c r="L175" s="5"/>
      <c r="M175" s="5"/>
      <c r="N175" s="5"/>
      <c r="O175" s="5"/>
      <c r="P175" s="5"/>
      <c r="Q175" s="5"/>
      <c r="R175" s="36" t="s">
        <v>2336</v>
      </c>
      <c r="S175" s="36" t="str">
        <f aca="false">IF(S174&lt;=$S$111,"PASS","FAIL")</f>
        <v>PASS</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4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2" min="1" style="1" width="36"/>
    <col collapsed="false" customWidth="true" hidden="false" outlineLevel="0" max="3" min="3" style="1" width="23"/>
    <col collapsed="false" customWidth="true" hidden="false" outlineLevel="0" max="10" min="4" style="2" width="10"/>
  </cols>
  <sheetData>
    <row r="1" customFormat="false" ht="14.25" hidden="false" customHeight="true" outlineLevel="0" collapsed="false">
      <c r="A1" s="39" t="s">
        <v>2337</v>
      </c>
      <c r="B1" s="39"/>
      <c r="C1" s="39"/>
      <c r="D1" s="39"/>
      <c r="E1" s="39"/>
      <c r="F1" s="39"/>
      <c r="G1" s="39"/>
      <c r="H1" s="39"/>
      <c r="I1" s="39"/>
      <c r="J1" s="39"/>
    </row>
    <row r="2" customFormat="false" ht="36" hidden="false" customHeight="true" outlineLevel="0" collapsed="false">
      <c r="A2" s="36" t="s">
        <v>2338</v>
      </c>
      <c r="B2" s="5"/>
      <c r="C2" s="5"/>
      <c r="D2" s="5"/>
      <c r="E2" s="5"/>
      <c r="F2" s="5"/>
      <c r="G2" s="5"/>
      <c r="H2" s="5"/>
      <c r="I2" s="5"/>
      <c r="J2" s="5"/>
    </row>
    <row r="3" customFormat="false" ht="14.25" hidden="false" customHeight="true" outlineLevel="0" collapsed="false">
      <c r="A3" s="36" t="s">
        <v>2339</v>
      </c>
      <c r="B3" s="5"/>
      <c r="C3" s="5"/>
      <c r="D3" s="5"/>
      <c r="E3" s="5"/>
      <c r="F3" s="5"/>
      <c r="G3" s="5"/>
      <c r="H3" s="5"/>
      <c r="I3" s="5"/>
      <c r="J3" s="5"/>
    </row>
    <row r="4" customFormat="false" ht="13.5" hidden="false" customHeight="true" outlineLevel="0" collapsed="false">
      <c r="A4" s="5"/>
      <c r="B4" s="5"/>
      <c r="C4" s="5"/>
      <c r="D4" s="5"/>
      <c r="E4" s="5"/>
      <c r="F4" s="5"/>
      <c r="G4" s="5"/>
      <c r="H4" s="5"/>
      <c r="I4" s="5"/>
      <c r="J4" s="5"/>
    </row>
    <row r="5" customFormat="false" ht="14.25" hidden="false" customHeight="true" outlineLevel="0" collapsed="false">
      <c r="A5" s="37" t="s">
        <v>2340</v>
      </c>
      <c r="B5" s="5"/>
      <c r="C5" s="5"/>
      <c r="D5" s="5"/>
      <c r="E5" s="5"/>
      <c r="F5" s="5"/>
      <c r="G5" s="5"/>
      <c r="H5" s="5"/>
      <c r="I5" s="5"/>
      <c r="J5" s="5"/>
    </row>
    <row r="6" customFormat="false" ht="13.5" hidden="false" customHeight="true" outlineLevel="0" collapsed="false">
      <c r="A6" s="5"/>
      <c r="B6" s="5"/>
      <c r="C6" s="5"/>
      <c r="D6" s="5"/>
      <c r="E6" s="5"/>
      <c r="F6" s="5"/>
      <c r="G6" s="5"/>
      <c r="H6" s="5"/>
      <c r="I6" s="5"/>
      <c r="J6" s="5"/>
    </row>
    <row r="7" customFormat="false" ht="14.25" hidden="false" customHeight="true" outlineLevel="0" collapsed="false">
      <c r="A7" s="37" t="s">
        <v>2341</v>
      </c>
      <c r="B7" s="5"/>
      <c r="C7" s="5"/>
      <c r="D7" s="5"/>
      <c r="E7" s="5"/>
      <c r="F7" s="5"/>
      <c r="G7" s="5"/>
      <c r="H7" s="5"/>
      <c r="I7" s="5"/>
      <c r="J7" s="5"/>
    </row>
    <row r="8" customFormat="false" ht="14.25" hidden="false" customHeight="true" outlineLevel="0" collapsed="false">
      <c r="A8" s="36" t="s">
        <v>2342</v>
      </c>
      <c r="B8" s="5"/>
      <c r="C8" s="5"/>
      <c r="D8" s="5"/>
      <c r="E8" s="5"/>
      <c r="F8" s="5"/>
      <c r="G8" s="5"/>
      <c r="H8" s="5"/>
      <c r="I8" s="5"/>
      <c r="J8" s="5"/>
    </row>
    <row r="9" customFormat="false" ht="14.25" hidden="false" customHeight="true" outlineLevel="0" collapsed="false">
      <c r="A9" s="37" t="s">
        <v>2343</v>
      </c>
      <c r="B9" s="37" t="s">
        <v>2344</v>
      </c>
      <c r="C9" s="37" t="s">
        <v>789</v>
      </c>
      <c r="D9" s="5"/>
      <c r="E9" s="5"/>
      <c r="F9" s="5"/>
      <c r="G9" s="5"/>
      <c r="H9" s="5"/>
      <c r="I9" s="5"/>
      <c r="J9" s="5"/>
    </row>
    <row r="10" customFormat="false" ht="14.25" hidden="false" customHeight="true" outlineLevel="0" collapsed="false">
      <c r="A10" s="36" t="s">
        <v>2345</v>
      </c>
      <c r="B10" s="36" t="n">
        <v>-0.069</v>
      </c>
      <c r="C10" s="36" t="s">
        <v>2292</v>
      </c>
      <c r="D10" s="5"/>
      <c r="E10" s="5"/>
      <c r="F10" s="5"/>
      <c r="G10" s="5"/>
      <c r="H10" s="5"/>
      <c r="I10" s="5"/>
      <c r="J10" s="5"/>
    </row>
    <row r="11" customFormat="false" ht="14.25" hidden="false" customHeight="true" outlineLevel="0" collapsed="false">
      <c r="A11" s="36" t="s">
        <v>2346</v>
      </c>
      <c r="B11" s="36" t="n">
        <v>-0.1</v>
      </c>
      <c r="C11" s="36" t="s">
        <v>2347</v>
      </c>
      <c r="D11" s="5"/>
      <c r="E11" s="5"/>
      <c r="F11" s="5"/>
      <c r="G11" s="5"/>
      <c r="H11" s="5"/>
      <c r="I11" s="5"/>
      <c r="J11" s="5"/>
    </row>
    <row r="12" customFormat="false" ht="14.25" hidden="false" customHeight="true" outlineLevel="0" collapsed="false">
      <c r="A12" s="36" t="s">
        <v>2348</v>
      </c>
      <c r="B12" s="36" t="n">
        <v>-0.12</v>
      </c>
      <c r="C12" s="36" t="s">
        <v>2349</v>
      </c>
      <c r="D12" s="5"/>
      <c r="E12" s="5"/>
      <c r="F12" s="5"/>
      <c r="G12" s="5"/>
      <c r="H12" s="5"/>
      <c r="I12" s="5"/>
      <c r="J12" s="5"/>
    </row>
    <row r="13" customFormat="false" ht="14.25" hidden="false" customHeight="true" outlineLevel="0" collapsed="false">
      <c r="A13" s="36" t="s">
        <v>2350</v>
      </c>
      <c r="B13" s="36" t="n">
        <v>-0.15</v>
      </c>
      <c r="C13" s="36" t="s">
        <v>2351</v>
      </c>
      <c r="D13" s="5"/>
      <c r="E13" s="5"/>
      <c r="F13" s="5"/>
      <c r="G13" s="5"/>
      <c r="H13" s="5"/>
      <c r="I13" s="5"/>
      <c r="J13" s="5"/>
    </row>
    <row r="14" customFormat="false" ht="14.25" hidden="false" customHeight="true" outlineLevel="0" collapsed="false">
      <c r="A14" s="36" t="s">
        <v>2352</v>
      </c>
      <c r="B14" s="36" t="n">
        <v>-0.15</v>
      </c>
      <c r="C14" s="36" t="s">
        <v>2353</v>
      </c>
      <c r="D14" s="5"/>
      <c r="E14" s="5"/>
      <c r="F14" s="5"/>
      <c r="G14" s="5"/>
      <c r="H14" s="5"/>
      <c r="I14" s="5"/>
      <c r="J14" s="5"/>
    </row>
    <row r="15" customFormat="false" ht="14.25" hidden="false" customHeight="true" outlineLevel="0" collapsed="false">
      <c r="A15" s="50" t="s">
        <v>2354</v>
      </c>
      <c r="B15" s="5"/>
      <c r="C15" s="5"/>
      <c r="D15" s="5"/>
      <c r="E15" s="5"/>
      <c r="F15" s="5"/>
      <c r="G15" s="5"/>
      <c r="H15" s="5"/>
      <c r="I15" s="5"/>
      <c r="J15" s="5"/>
    </row>
    <row r="16" customFormat="false" ht="13.5" hidden="false" customHeight="true" outlineLevel="0" collapsed="false">
      <c r="A16" s="5"/>
      <c r="B16" s="5"/>
      <c r="C16" s="5"/>
      <c r="D16" s="5"/>
      <c r="E16" s="5"/>
      <c r="F16" s="5"/>
      <c r="G16" s="5"/>
      <c r="H16" s="5"/>
      <c r="I16" s="5"/>
      <c r="J16" s="5"/>
    </row>
    <row r="17" customFormat="false" ht="14.25" hidden="false" customHeight="true" outlineLevel="0" collapsed="false">
      <c r="A17" s="37" t="s">
        <v>2355</v>
      </c>
      <c r="B17" s="5"/>
      <c r="C17" s="5"/>
      <c r="D17" s="5"/>
      <c r="E17" s="5"/>
      <c r="F17" s="5"/>
      <c r="G17" s="5"/>
      <c r="H17" s="5"/>
      <c r="I17" s="5"/>
      <c r="J17" s="5"/>
    </row>
    <row r="18" customFormat="false" ht="14.25" hidden="false" customHeight="true" outlineLevel="0" collapsed="false">
      <c r="A18" s="36" t="s">
        <v>2356</v>
      </c>
      <c r="B18" s="5"/>
      <c r="C18" s="5"/>
      <c r="D18" s="5"/>
      <c r="E18" s="5"/>
      <c r="F18" s="5"/>
      <c r="G18" s="5"/>
      <c r="H18" s="5"/>
      <c r="I18" s="5"/>
      <c r="J18" s="5"/>
    </row>
    <row r="19" customFormat="false" ht="14.25" hidden="false" customHeight="true" outlineLevel="0" collapsed="false">
      <c r="A19" s="36" t="s">
        <v>2357</v>
      </c>
      <c r="B19" s="5"/>
      <c r="C19" s="5"/>
      <c r="D19" s="5"/>
      <c r="E19" s="5"/>
      <c r="F19" s="5"/>
      <c r="G19" s="5"/>
      <c r="H19" s="5"/>
      <c r="I19" s="5"/>
      <c r="J19" s="5"/>
    </row>
    <row r="20" customFormat="false" ht="14.25" hidden="false" customHeight="true" outlineLevel="0" collapsed="false">
      <c r="A20" s="50" t="s">
        <v>2358</v>
      </c>
      <c r="B20" s="5"/>
      <c r="C20" s="5"/>
      <c r="D20" s="5"/>
      <c r="E20" s="5"/>
      <c r="F20" s="5"/>
      <c r="G20" s="5"/>
      <c r="H20" s="5"/>
      <c r="I20" s="5"/>
      <c r="J20" s="5"/>
    </row>
    <row r="21" customFormat="false" ht="13.5" hidden="false" customHeight="true" outlineLevel="0" collapsed="false">
      <c r="A21" s="5"/>
      <c r="B21" s="5"/>
      <c r="C21" s="5"/>
      <c r="D21" s="5"/>
      <c r="E21" s="5"/>
      <c r="F21" s="5"/>
      <c r="G21" s="5"/>
      <c r="H21" s="5"/>
      <c r="I21" s="5"/>
      <c r="J21" s="5"/>
    </row>
    <row r="22" customFormat="false" ht="14.25" hidden="false" customHeight="true" outlineLevel="0" collapsed="false">
      <c r="A22" s="37" t="s">
        <v>2359</v>
      </c>
      <c r="B22" s="5"/>
      <c r="C22" s="5"/>
      <c r="D22" s="5"/>
      <c r="E22" s="5"/>
      <c r="F22" s="5"/>
      <c r="G22" s="5"/>
      <c r="H22" s="5"/>
      <c r="I22" s="5"/>
      <c r="J22" s="5"/>
    </row>
    <row r="23" customFormat="false" ht="14.25" hidden="false" customHeight="true" outlineLevel="0" collapsed="false">
      <c r="A23" s="36" t="s">
        <v>2356</v>
      </c>
      <c r="B23" s="5"/>
      <c r="C23" s="5"/>
      <c r="D23" s="5"/>
      <c r="E23" s="5"/>
      <c r="F23" s="5"/>
      <c r="G23" s="5"/>
      <c r="H23" s="5"/>
      <c r="I23" s="5"/>
      <c r="J23" s="5"/>
    </row>
    <row r="24" customFormat="false" ht="14.25" hidden="false" customHeight="true" outlineLevel="0" collapsed="false">
      <c r="A24" s="36" t="s">
        <v>2360</v>
      </c>
      <c r="B24" s="5"/>
      <c r="C24" s="5"/>
      <c r="D24" s="5"/>
      <c r="E24" s="5"/>
      <c r="F24" s="5"/>
      <c r="G24" s="5"/>
      <c r="H24" s="5"/>
      <c r="I24" s="5"/>
      <c r="J24" s="5"/>
    </row>
    <row r="25" customFormat="false" ht="14.25" hidden="false" customHeight="true" outlineLevel="0" collapsed="false">
      <c r="A25" s="50" t="s">
        <v>2361</v>
      </c>
      <c r="B25" s="5"/>
      <c r="C25" s="5"/>
      <c r="D25" s="5"/>
      <c r="E25" s="5"/>
      <c r="F25" s="5"/>
      <c r="G25" s="5"/>
      <c r="H25" s="5"/>
      <c r="I25" s="5"/>
      <c r="J25" s="5"/>
    </row>
    <row r="26" customFormat="false" ht="13.5" hidden="false" customHeight="true" outlineLevel="0" collapsed="false">
      <c r="A26" s="5"/>
      <c r="B26" s="5"/>
      <c r="C26" s="5"/>
      <c r="D26" s="5"/>
      <c r="E26" s="5"/>
      <c r="F26" s="5"/>
      <c r="G26" s="5"/>
      <c r="H26" s="5"/>
      <c r="I26" s="5"/>
      <c r="J26" s="5"/>
    </row>
    <row r="27" customFormat="false" ht="13.5" hidden="false" customHeight="true" outlineLevel="0" collapsed="false">
      <c r="A27" s="5"/>
      <c r="B27" s="5"/>
      <c r="C27" s="5"/>
      <c r="D27" s="5"/>
      <c r="E27" s="5"/>
      <c r="F27" s="5"/>
      <c r="G27" s="5"/>
      <c r="H27" s="5"/>
      <c r="I27" s="5"/>
      <c r="J27" s="5"/>
    </row>
    <row r="28" customFormat="false" ht="14.25" hidden="false" customHeight="true" outlineLevel="0" collapsed="false">
      <c r="A28" s="37" t="s">
        <v>2362</v>
      </c>
      <c r="B28" s="5"/>
      <c r="C28" s="5"/>
      <c r="D28" s="5"/>
      <c r="E28" s="5"/>
      <c r="F28" s="5"/>
      <c r="G28" s="5"/>
      <c r="H28" s="5"/>
      <c r="I28" s="5"/>
      <c r="J28" s="5"/>
    </row>
    <row r="29" customFormat="false" ht="13.5" hidden="false" customHeight="true" outlineLevel="0" collapsed="false">
      <c r="A29" s="5"/>
      <c r="B29" s="5"/>
      <c r="C29" s="5"/>
      <c r="D29" s="5"/>
      <c r="E29" s="5"/>
      <c r="F29" s="5"/>
      <c r="G29" s="5"/>
      <c r="H29" s="5"/>
      <c r="I29" s="5"/>
      <c r="J29" s="5"/>
    </row>
    <row r="30" customFormat="false" ht="14.25" hidden="false" customHeight="true" outlineLevel="0" collapsed="false">
      <c r="A30" s="37" t="s">
        <v>2363</v>
      </c>
      <c r="B30" s="5"/>
      <c r="C30" s="5"/>
      <c r="D30" s="5"/>
      <c r="E30" s="5"/>
      <c r="F30" s="5"/>
      <c r="G30" s="5"/>
      <c r="H30" s="5"/>
      <c r="I30" s="5"/>
      <c r="J30" s="5"/>
    </row>
    <row r="31" customFormat="false" ht="14.25" hidden="false" customHeight="true" outlineLevel="0" collapsed="false">
      <c r="A31" s="36" t="s">
        <v>2364</v>
      </c>
      <c r="B31" s="5"/>
      <c r="C31" s="5"/>
      <c r="D31" s="5"/>
      <c r="E31" s="5"/>
      <c r="F31" s="5"/>
      <c r="G31" s="5"/>
      <c r="H31" s="5"/>
      <c r="I31" s="5"/>
      <c r="J31" s="5"/>
    </row>
    <row r="32" customFormat="false" ht="14.25" hidden="false" customHeight="true" outlineLevel="0" collapsed="false">
      <c r="A32" s="36" t="s">
        <v>2365</v>
      </c>
      <c r="B32" s="5"/>
      <c r="C32" s="5"/>
      <c r="D32" s="5"/>
      <c r="E32" s="5"/>
      <c r="F32" s="5"/>
      <c r="G32" s="5"/>
      <c r="H32" s="5"/>
      <c r="I32" s="5"/>
      <c r="J32" s="5"/>
    </row>
    <row r="33" customFormat="false" ht="14.25" hidden="false" customHeight="true" outlineLevel="0" collapsed="false">
      <c r="A33" s="50" t="s">
        <v>2366</v>
      </c>
      <c r="B33" s="5"/>
      <c r="C33" s="5"/>
      <c r="D33" s="5"/>
      <c r="E33" s="5"/>
      <c r="F33" s="5"/>
      <c r="G33" s="5"/>
      <c r="H33" s="5"/>
      <c r="I33" s="5"/>
      <c r="J33" s="5"/>
    </row>
    <row r="34" customFormat="false" ht="13.5" hidden="false" customHeight="true" outlineLevel="0" collapsed="false">
      <c r="A34" s="5"/>
      <c r="B34" s="5"/>
      <c r="C34" s="5"/>
      <c r="D34" s="5"/>
      <c r="E34" s="5"/>
      <c r="F34" s="5"/>
      <c r="G34" s="5"/>
      <c r="H34" s="5"/>
      <c r="I34" s="5"/>
      <c r="J34" s="5"/>
    </row>
    <row r="35" customFormat="false" ht="14.25" hidden="false" customHeight="true" outlineLevel="0" collapsed="false">
      <c r="A35" s="36" t="s">
        <v>2367</v>
      </c>
      <c r="B35" s="5"/>
      <c r="C35" s="5"/>
      <c r="D35" s="5"/>
      <c r="E35" s="5"/>
      <c r="F35" s="5"/>
      <c r="G35" s="5"/>
      <c r="H35" s="5"/>
      <c r="I35" s="5"/>
      <c r="J35" s="5"/>
    </row>
    <row r="36" customFormat="false" ht="14.25" hidden="false" customHeight="true" outlineLevel="0" collapsed="false">
      <c r="A36" s="50" t="s">
        <v>2368</v>
      </c>
      <c r="B36" s="5"/>
      <c r="C36" s="5"/>
      <c r="D36" s="5"/>
      <c r="E36" s="5"/>
      <c r="F36" s="5"/>
      <c r="G36" s="5"/>
      <c r="H36" s="5"/>
      <c r="I36" s="5"/>
      <c r="J36" s="5"/>
    </row>
    <row r="37" customFormat="false" ht="13.5" hidden="false" customHeight="true" outlineLevel="0" collapsed="false">
      <c r="A37" s="5"/>
      <c r="B37" s="5"/>
      <c r="C37" s="5"/>
      <c r="D37" s="5"/>
      <c r="E37" s="5"/>
      <c r="F37" s="5"/>
      <c r="G37" s="5"/>
      <c r="H37" s="5"/>
      <c r="I37" s="5"/>
      <c r="J37" s="5"/>
    </row>
    <row r="38" customFormat="false" ht="14.25" hidden="false" customHeight="true" outlineLevel="0" collapsed="false">
      <c r="A38" s="36" t="s">
        <v>2369</v>
      </c>
      <c r="B38" s="5"/>
      <c r="C38" s="5"/>
      <c r="D38" s="5"/>
      <c r="E38" s="5"/>
      <c r="F38" s="5"/>
      <c r="G38" s="5"/>
      <c r="H38" s="5"/>
      <c r="I38" s="5"/>
      <c r="J38" s="5"/>
    </row>
    <row r="39" customFormat="false" ht="14.25" hidden="false" customHeight="true" outlineLevel="0" collapsed="false">
      <c r="A39" s="50" t="s">
        <v>2370</v>
      </c>
      <c r="B39" s="5"/>
      <c r="C39" s="5"/>
      <c r="D39" s="5"/>
      <c r="E39" s="5"/>
      <c r="F39" s="5"/>
      <c r="G39" s="5"/>
      <c r="H39" s="5"/>
      <c r="I39" s="5"/>
      <c r="J39" s="5"/>
    </row>
    <row r="40" customFormat="false" ht="13.5" hidden="false" customHeight="true" outlineLevel="0" collapsed="false">
      <c r="A40" s="5"/>
      <c r="B40" s="5"/>
      <c r="C40" s="5"/>
      <c r="D40" s="5"/>
      <c r="E40" s="5"/>
      <c r="F40" s="5"/>
      <c r="G40" s="5"/>
      <c r="H40" s="5"/>
      <c r="I40" s="5"/>
      <c r="J40" s="5"/>
    </row>
    <row r="41" customFormat="false" ht="13.5" hidden="false" customHeight="true" outlineLevel="0" collapsed="false">
      <c r="A41" s="5"/>
      <c r="B41" s="5"/>
      <c r="C41" s="5"/>
      <c r="D41" s="5"/>
      <c r="E41" s="5"/>
      <c r="F41" s="5"/>
      <c r="G41" s="5"/>
      <c r="H41" s="5"/>
      <c r="I41" s="5"/>
      <c r="J41" s="5"/>
    </row>
    <row r="42" customFormat="false" ht="14.25" hidden="false" customHeight="true" outlineLevel="0" collapsed="false">
      <c r="A42" s="37" t="s">
        <v>2371</v>
      </c>
      <c r="B42" s="5"/>
      <c r="C42" s="5"/>
      <c r="D42" s="5"/>
      <c r="E42" s="5"/>
      <c r="F42" s="5"/>
      <c r="G42" s="5"/>
      <c r="H42" s="5"/>
      <c r="I42" s="5"/>
      <c r="J42" s="5"/>
    </row>
    <row r="43" customFormat="false" ht="14.25" hidden="false" customHeight="true" outlineLevel="0" collapsed="false">
      <c r="A43" s="36" t="s">
        <v>2372</v>
      </c>
      <c r="B43" s="5"/>
      <c r="C43" s="5"/>
      <c r="D43" s="5"/>
      <c r="E43" s="5"/>
      <c r="F43" s="5"/>
      <c r="G43" s="5"/>
      <c r="H43" s="5"/>
      <c r="I43" s="5"/>
      <c r="J43" s="5"/>
    </row>
    <row r="44" customFormat="false" ht="14.25" hidden="false" customHeight="true" outlineLevel="0" collapsed="false">
      <c r="A44" s="36" t="s">
        <v>2373</v>
      </c>
      <c r="B44" s="5"/>
      <c r="C44" s="5"/>
      <c r="D44" s="5"/>
      <c r="E44" s="5"/>
      <c r="F44" s="5"/>
      <c r="G44" s="5"/>
      <c r="H44" s="5"/>
      <c r="I44" s="5"/>
      <c r="J44" s="5"/>
    </row>
    <row r="45" customFormat="false" ht="14.25" hidden="false" customHeight="true" outlineLevel="0" collapsed="false">
      <c r="A45" s="50" t="s">
        <v>2374</v>
      </c>
      <c r="B45" s="5"/>
      <c r="C45" s="5"/>
      <c r="D45" s="5"/>
      <c r="E45" s="5"/>
      <c r="F45" s="5"/>
      <c r="G45" s="5"/>
      <c r="H45" s="5"/>
      <c r="I45" s="5"/>
      <c r="J45" s="5"/>
    </row>
    <row r="46" customFormat="false" ht="13.5" hidden="false" customHeight="true" outlineLevel="0" collapsed="false">
      <c r="A46" s="36" t="s">
        <v>2375</v>
      </c>
      <c r="B46" s="36" t="n">
        <f aca="false">IF(COUNTIF($A$1:$A$200,"WORST-OFF")&gt;0,1,0)</f>
        <v>1</v>
      </c>
      <c r="C46" s="5"/>
      <c r="D46" s="5"/>
      <c r="E46" s="5"/>
      <c r="F46" s="5"/>
      <c r="G46" s="5"/>
      <c r="H46" s="5"/>
      <c r="I46" s="5"/>
      <c r="J46" s="5"/>
    </row>
  </sheetData>
  <mergeCells count="1">
    <mergeCell ref="A1:J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2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1" width="36"/>
    <col collapsed="false" customWidth="true" hidden="false" outlineLevel="0" max="2" min="2" style="1" width="23"/>
    <col collapsed="false" customWidth="true" hidden="false" outlineLevel="0" max="4" min="3" style="1" width="13"/>
    <col collapsed="false" customWidth="true" hidden="false" outlineLevel="0" max="5" min="5" style="1" width="11"/>
    <col collapsed="false" customWidth="true" hidden="false" outlineLevel="0" max="6" min="6" style="1" width="18"/>
    <col collapsed="false" customWidth="true" hidden="false" outlineLevel="0" max="8" min="7" style="1" width="36"/>
  </cols>
  <sheetData>
    <row r="1" customFormat="false" ht="14.25" hidden="false" customHeight="true" outlineLevel="0" collapsed="false">
      <c r="A1" s="21" t="s">
        <v>2376</v>
      </c>
      <c r="B1" s="3"/>
      <c r="C1" s="3"/>
      <c r="D1" s="3"/>
      <c r="E1" s="3"/>
      <c r="F1" s="3"/>
      <c r="G1" s="3"/>
      <c r="H1" s="3"/>
    </row>
    <row r="2" customFormat="false" ht="12.75" hidden="false" customHeight="false" outlineLevel="0" collapsed="false">
      <c r="A2" s="5"/>
      <c r="B2" s="5"/>
      <c r="C2" s="5"/>
      <c r="D2" s="5"/>
      <c r="E2" s="5"/>
      <c r="F2" s="5"/>
      <c r="G2" s="5"/>
      <c r="H2" s="5"/>
    </row>
    <row r="3" customFormat="false" ht="14.25" hidden="false" customHeight="true" outlineLevel="0" collapsed="false">
      <c r="A3" s="65" t="s">
        <v>2377</v>
      </c>
      <c r="B3" s="5"/>
      <c r="C3" s="5"/>
      <c r="D3" s="5"/>
      <c r="E3" s="5"/>
      <c r="F3" s="5"/>
      <c r="G3" s="5"/>
      <c r="H3" s="5"/>
    </row>
    <row r="4" customFormat="false" ht="14.25" hidden="false" customHeight="true" outlineLevel="0" collapsed="false">
      <c r="A4" s="36" t="s">
        <v>2378</v>
      </c>
      <c r="B4" s="5"/>
      <c r="C4" s="5"/>
      <c r="D4" s="5"/>
      <c r="E4" s="5"/>
      <c r="F4" s="5"/>
      <c r="G4" s="5"/>
      <c r="H4" s="5"/>
    </row>
    <row r="5" customFormat="false" ht="14.25" hidden="false" customHeight="true" outlineLevel="0" collapsed="false">
      <c r="A5" s="36" t="s">
        <v>2379</v>
      </c>
      <c r="B5" s="5"/>
      <c r="C5" s="5"/>
      <c r="D5" s="5"/>
      <c r="E5" s="5"/>
      <c r="F5" s="5"/>
      <c r="G5" s="5"/>
      <c r="H5" s="5"/>
    </row>
    <row r="6" customFormat="false" ht="14.25" hidden="false" customHeight="true" outlineLevel="0" collapsed="false">
      <c r="A6" s="36"/>
      <c r="B6" s="5"/>
      <c r="C6" s="5"/>
      <c r="D6" s="5"/>
      <c r="E6" s="5"/>
      <c r="F6" s="5"/>
      <c r="G6" s="5"/>
      <c r="H6" s="5"/>
    </row>
    <row r="7" customFormat="false" ht="14.25" hidden="false" customHeight="true" outlineLevel="0" collapsed="false">
      <c r="A7" s="36" t="s">
        <v>2380</v>
      </c>
      <c r="B7" s="36" t="n">
        <v>1.5</v>
      </c>
      <c r="C7" s="5"/>
      <c r="D7" s="5"/>
      <c r="E7" s="5"/>
      <c r="F7" s="5"/>
      <c r="G7" s="5"/>
      <c r="H7" s="5"/>
    </row>
    <row r="8" customFormat="false" ht="14.25" hidden="false" customHeight="true" outlineLevel="0" collapsed="false">
      <c r="A8" s="36"/>
      <c r="B8" s="5"/>
      <c r="C8" s="5"/>
      <c r="D8" s="5"/>
      <c r="E8" s="5"/>
      <c r="F8" s="5"/>
      <c r="G8" s="5"/>
      <c r="H8" s="5"/>
    </row>
    <row r="9" customFormat="false" ht="14.25" hidden="false" customHeight="true" outlineLevel="0" collapsed="false">
      <c r="A9" s="65" t="s">
        <v>2381</v>
      </c>
      <c r="B9" s="5"/>
      <c r="C9" s="5"/>
      <c r="D9" s="5"/>
      <c r="E9" s="5"/>
      <c r="F9" s="5"/>
      <c r="G9" s="5"/>
      <c r="H9" s="5"/>
    </row>
    <row r="10" customFormat="false" ht="14.25" hidden="false" customHeight="true" outlineLevel="0" collapsed="false">
      <c r="A10" s="65" t="s">
        <v>2382</v>
      </c>
      <c r="B10" s="65" t="s">
        <v>2383</v>
      </c>
      <c r="C10" s="65" t="s">
        <v>2384</v>
      </c>
      <c r="D10" s="65" t="s">
        <v>696</v>
      </c>
      <c r="E10" s="65" t="s">
        <v>702</v>
      </c>
      <c r="F10" s="65" t="s">
        <v>2385</v>
      </c>
      <c r="G10" s="65" t="s">
        <v>353</v>
      </c>
      <c r="H10" s="65" t="s">
        <v>2386</v>
      </c>
    </row>
    <row r="11" customFormat="false" ht="14.25" hidden="false" customHeight="true" outlineLevel="0" collapsed="false">
      <c r="A11" s="36"/>
      <c r="B11" s="5"/>
      <c r="C11" s="5"/>
      <c r="D11" s="5"/>
      <c r="E11" s="5"/>
      <c r="F11" s="5"/>
      <c r="G11" s="5"/>
      <c r="H11" s="22" t="str">
        <f aca="false">IF(OR($B11="",$D11="",$E11=""),"",$B11&amp;"|"&amp;$D11&amp;"|"&amp;$E11)</f>
        <v/>
      </c>
    </row>
    <row r="12" customFormat="false" ht="14.25" hidden="false" customHeight="true" outlineLevel="0" collapsed="false">
      <c r="A12" s="65"/>
      <c r="B12" s="5"/>
      <c r="C12" s="5"/>
      <c r="D12" s="5"/>
      <c r="E12" s="5"/>
      <c r="F12" s="5"/>
      <c r="G12" s="5"/>
      <c r="H12" s="22" t="str">
        <f aca="false">IF(OR($B12="",$D12="",$E12=""),"",$B12&amp;"|"&amp;$D12&amp;"|"&amp;$E12)</f>
        <v/>
      </c>
    </row>
    <row r="13" customFormat="false" ht="14.25" hidden="false" customHeight="true" outlineLevel="0" collapsed="false">
      <c r="A13" s="65"/>
      <c r="B13" s="65"/>
      <c r="C13" s="65"/>
      <c r="D13" s="65"/>
      <c r="E13" s="65"/>
      <c r="F13" s="65"/>
      <c r="G13" s="65"/>
      <c r="H13" s="113" t="str">
        <f aca="false">IF(OR($B13="",$D13="",$E13=""),"",$B13&amp;"|"&amp;$D13&amp;"|"&amp;$E13)</f>
        <v/>
      </c>
    </row>
    <row r="14" customFormat="false" ht="14.25" hidden="false" customHeight="true" outlineLevel="0" collapsed="false">
      <c r="A14" s="65" t="s">
        <v>2387</v>
      </c>
      <c r="B14" s="5"/>
      <c r="C14" s="5"/>
      <c r="D14" s="5"/>
      <c r="E14" s="5"/>
      <c r="F14" s="5"/>
      <c r="G14" s="5"/>
      <c r="H14" s="22" t="str">
        <f aca="false">IF(OR($B14="",$D14="",$E14=""),"",$B14&amp;"|"&amp;$D14&amp;"|"&amp;$E14)</f>
        <v/>
      </c>
    </row>
    <row r="15" customFormat="false" ht="14.25" hidden="false" customHeight="true" outlineLevel="0" collapsed="false">
      <c r="A15" s="36" t="s">
        <v>2388</v>
      </c>
      <c r="B15" s="36" t="s">
        <v>2389</v>
      </c>
      <c r="C15" s="5"/>
      <c r="D15" s="5"/>
      <c r="E15" s="5"/>
      <c r="F15" s="5"/>
      <c r="G15" s="5"/>
      <c r="H15" s="22" t="str">
        <f aca="false">IF(OR($B15="",$D15="",$E15=""),"",$B15&amp;"|"&amp;$D15&amp;"|"&amp;$E15)</f>
        <v/>
      </c>
    </row>
    <row r="16" customFormat="false" ht="14.25" hidden="false" customHeight="true" outlineLevel="0" collapsed="false">
      <c r="A16" s="65" t="s">
        <v>2390</v>
      </c>
      <c r="B16" s="36" t="n">
        <f aca="false">COUNT(F11:F100)</f>
        <v>6</v>
      </c>
      <c r="C16" s="5"/>
      <c r="D16" s="5"/>
      <c r="E16" s="5"/>
      <c r="F16" s="5"/>
      <c r="G16" s="5"/>
      <c r="H16" s="22" t="str">
        <f aca="false">IF(OR($B16="",$D16="",$E16=""),"",$B16&amp;"|"&amp;$D16&amp;"|"&amp;$E16)</f>
        <v/>
      </c>
    </row>
    <row r="17" customFormat="false" ht="14.25" hidden="false" customHeight="true" outlineLevel="0" collapsed="false">
      <c r="A17" s="36" t="s">
        <v>2391</v>
      </c>
      <c r="B17" s="114" t="n">
        <f aca="false">COUNT(F11:F100)</f>
        <v>6</v>
      </c>
      <c r="C17" s="5"/>
      <c r="D17" s="5"/>
      <c r="E17" s="5"/>
      <c r="F17" s="5"/>
      <c r="G17" s="5"/>
      <c r="H17" s="22" t="str">
        <f aca="false">IF(OR($B17="",$D17="",$E17=""),"",$B17&amp;"|"&amp;$D17&amp;"|"&amp;$E17)</f>
        <v/>
      </c>
    </row>
    <row r="18" customFormat="false" ht="14.25" hidden="false" customHeight="true" outlineLevel="0" collapsed="false">
      <c r="A18" s="36" t="s">
        <v>2392</v>
      </c>
      <c r="B18" s="114" t="str">
        <f aca="false">IF(B17=0,"YES","NO")</f>
        <v>NO</v>
      </c>
      <c r="C18" s="5"/>
      <c r="D18" s="5"/>
      <c r="E18" s="5"/>
      <c r="F18" s="5"/>
      <c r="G18" s="5"/>
      <c r="H18" s="22" t="str">
        <f aca="false">IF(OR($B18="",$D18="",$E18=""),"",$B18&amp;"|"&amp;$D18&amp;"|"&amp;$E18)</f>
        <v/>
      </c>
    </row>
    <row r="19" customFormat="false" ht="14.25" hidden="false" customHeight="true" outlineLevel="0" collapsed="false">
      <c r="A19" s="36" t="s">
        <v>2393</v>
      </c>
      <c r="B19" s="36" t="str">
        <f aca="false">Audit_Flags!B14</f>
        <v>NO</v>
      </c>
      <c r="C19" s="5"/>
      <c r="D19" s="5"/>
      <c r="E19" s="5"/>
      <c r="F19" s="5"/>
      <c r="G19" s="5"/>
      <c r="H19" s="22" t="str">
        <f aca="false">IF(OR($B19="",$D19="",$E19=""),"",$B19&amp;"|"&amp;$D19&amp;"|"&amp;$E19)</f>
        <v/>
      </c>
    </row>
    <row r="20" customFormat="false" ht="21.75" hidden="false" customHeight="true" outlineLevel="0" collapsed="false">
      <c r="A20" s="65" t="s">
        <v>2394</v>
      </c>
      <c r="B20" s="5"/>
      <c r="C20" s="5"/>
      <c r="D20" s="5"/>
      <c r="E20" s="5"/>
      <c r="F20" s="5"/>
      <c r="G20" s="5"/>
      <c r="H20" s="22" t="str">
        <f aca="false">IF(OR($B20="",$D20="",$E20=""),"",$B20&amp;"|"&amp;$D20&amp;"|"&amp;$E20)</f>
        <v/>
      </c>
    </row>
    <row r="21" customFormat="false" ht="21.75" hidden="false" customHeight="true" outlineLevel="0" collapsed="false">
      <c r="A21" s="65" t="s">
        <v>2395</v>
      </c>
      <c r="B21" s="5"/>
      <c r="C21" s="5"/>
      <c r="D21" s="5"/>
      <c r="E21" s="5"/>
      <c r="F21" s="5"/>
      <c r="G21" s="5"/>
      <c r="H21" s="22" t="str">
        <f aca="false">IF(OR($B21="",$D21="",$E21=""),"",$B21&amp;"|"&amp;$D21&amp;"|"&amp;$E21)</f>
        <v/>
      </c>
    </row>
    <row r="22" customFormat="false" ht="21.75" hidden="false" customHeight="true" outlineLevel="0" collapsed="false">
      <c r="A22" s="65" t="s">
        <v>2396</v>
      </c>
      <c r="B22" s="5"/>
      <c r="C22" s="5"/>
      <c r="D22" s="5"/>
      <c r="E22" s="5"/>
      <c r="F22" s="5"/>
      <c r="G22" s="5"/>
      <c r="H22" s="22" t="str">
        <f aca="false">IF(OR($B22="",$D22="",$E22=""),"",$B22&amp;"|"&amp;$D22&amp;"|"&amp;$E22)</f>
        <v/>
      </c>
    </row>
    <row r="23" customFormat="false" ht="21.75" hidden="false" customHeight="true" outlineLevel="0" collapsed="false">
      <c r="A23" s="65" t="s">
        <v>2397</v>
      </c>
      <c r="B23" s="5"/>
      <c r="C23" s="5"/>
      <c r="D23" s="5"/>
      <c r="E23" s="5"/>
      <c r="F23" s="5"/>
      <c r="G23" s="5"/>
      <c r="H23" s="22" t="str">
        <f aca="false">IF(OR($B23="",$D23="",$E23=""),"",$B23&amp;"|"&amp;$D23&amp;"|"&amp;$E23)</f>
        <v/>
      </c>
    </row>
    <row r="24" customFormat="false" ht="14.25" hidden="false" customHeight="true" outlineLevel="0" collapsed="false">
      <c r="A24" s="36" t="s">
        <v>2398</v>
      </c>
      <c r="B24" s="22" t="s">
        <v>879</v>
      </c>
      <c r="C24" s="22" t="s">
        <v>1608</v>
      </c>
      <c r="D24" s="22" t="s">
        <v>763</v>
      </c>
      <c r="E24" s="22" t="s">
        <v>770</v>
      </c>
      <c r="F24" s="22" t="n">
        <v>-0.15</v>
      </c>
      <c r="G24" s="22" t="s">
        <v>2399</v>
      </c>
      <c r="H24" s="22" t="str">
        <f aca="false">IF(OR($B24="",$D24="",$E24=""),"",$B24&amp;"|"&amp;$D24&amp;"|"&amp;$E24)</f>
        <v>A|U3|D3</v>
      </c>
    </row>
    <row r="25" customFormat="false" ht="14.25" hidden="false" customHeight="true" outlineLevel="0" collapsed="false">
      <c r="A25" s="36" t="s">
        <v>2400</v>
      </c>
      <c r="B25" s="22" t="s">
        <v>879</v>
      </c>
      <c r="C25" s="22" t="s">
        <v>1609</v>
      </c>
      <c r="D25" s="22" t="s">
        <v>764</v>
      </c>
      <c r="E25" s="22" t="s">
        <v>771</v>
      </c>
      <c r="F25" s="22" t="n">
        <v>-0.3</v>
      </c>
      <c r="G25" s="22" t="s">
        <v>2401</v>
      </c>
      <c r="H25" s="22" t="str">
        <f aca="false">IF(OR($B25="",$D25="",$E25=""),"",$B25&amp;"|"&amp;$D25&amp;"|"&amp;$E25)</f>
        <v>A|U4|D1</v>
      </c>
    </row>
    <row r="26" customFormat="false" ht="14.25" hidden="false" customHeight="true" outlineLevel="0" collapsed="false">
      <c r="A26" s="36" t="s">
        <v>2402</v>
      </c>
      <c r="B26" s="22" t="s">
        <v>879</v>
      </c>
      <c r="C26" s="22" t="s">
        <v>1607</v>
      </c>
      <c r="D26" s="22" t="s">
        <v>763</v>
      </c>
      <c r="E26" s="22" t="s">
        <v>771</v>
      </c>
      <c r="F26" s="22" t="n">
        <v>-0.2</v>
      </c>
      <c r="G26" s="22" t="s">
        <v>2403</v>
      </c>
      <c r="H26" s="22" t="str">
        <f aca="false">IF(OR($B26="",$D26="",$E26=""),"",$B26&amp;"|"&amp;$D26&amp;"|"&amp;$E26)</f>
        <v>A|U3|D1</v>
      </c>
    </row>
    <row r="27" customFormat="false" ht="14.25" hidden="false" customHeight="true" outlineLevel="0" collapsed="false">
      <c r="A27" s="36" t="s">
        <v>2404</v>
      </c>
      <c r="B27" s="22" t="s">
        <v>904</v>
      </c>
      <c r="C27" s="22" t="s">
        <v>1602</v>
      </c>
      <c r="D27" s="22" t="s">
        <v>760</v>
      </c>
      <c r="E27" s="22" t="s">
        <v>769</v>
      </c>
      <c r="F27" s="22" t="n">
        <v>-0.15</v>
      </c>
      <c r="G27" s="22" t="s">
        <v>2405</v>
      </c>
      <c r="H27" s="22" t="str">
        <f aca="false">IF(OR($B27="",$D27="",$E27=""),"",$B27&amp;"|"&amp;$D27&amp;"|"&amp;$E27)</f>
        <v>B|U1|D5</v>
      </c>
    </row>
    <row r="28" customFormat="false" ht="14.25" hidden="false" customHeight="true" outlineLevel="0" collapsed="false">
      <c r="A28" s="36" t="s">
        <v>2406</v>
      </c>
      <c r="B28" s="22" t="s">
        <v>904</v>
      </c>
      <c r="C28" s="22" t="s">
        <v>1606</v>
      </c>
      <c r="D28" s="22" t="s">
        <v>762</v>
      </c>
      <c r="E28" s="22" t="s">
        <v>771</v>
      </c>
      <c r="F28" s="22" t="n">
        <v>-0.12</v>
      </c>
      <c r="G28" s="22" t="s">
        <v>2407</v>
      </c>
      <c r="H28" s="22" t="str">
        <f aca="false">IF(OR($B28="",$D28="",$E28=""),"",$B28&amp;"|"&amp;$D28&amp;"|"&amp;$E28)</f>
        <v>B|U2|D1</v>
      </c>
    </row>
    <row r="29" customFormat="false" ht="14.25" hidden="false" customHeight="true" outlineLevel="0" collapsed="false">
      <c r="A29" s="36" t="s">
        <v>2408</v>
      </c>
      <c r="B29" s="22" t="s">
        <v>904</v>
      </c>
      <c r="C29" s="22" t="s">
        <v>1610</v>
      </c>
      <c r="D29" s="22" t="s">
        <v>768</v>
      </c>
      <c r="E29" s="22" t="s">
        <v>767</v>
      </c>
      <c r="F29" s="22" t="n">
        <v>-0.08</v>
      </c>
      <c r="G29" s="22" t="s">
        <v>2409</v>
      </c>
      <c r="H29" s="22" t="str">
        <f aca="false">IF(OR($B29="",$D29="",$E29=""),"",$B29&amp;"|"&amp;$D29&amp;"|"&amp;$E29)</f>
        <v>B|U7|D7</v>
      </c>
    </row>
    <row r="30" customFormat="false" ht="14.25" hidden="false" customHeight="true" outlineLevel="0" collapsed="false">
      <c r="A30" s="36"/>
      <c r="B30" s="5"/>
      <c r="C30" s="5"/>
      <c r="D30" s="5"/>
      <c r="E30" s="5"/>
      <c r="F30" s="5"/>
      <c r="G30" s="5"/>
      <c r="H30" s="22" t="str">
        <f aca="false">IF(OR($B30="",$D30="",$E30=""),"",$B30&amp;"|"&amp;$D30&amp;"|"&amp;$E30)</f>
        <v/>
      </c>
    </row>
    <row r="31" customFormat="false" ht="14.25" hidden="false" customHeight="true" outlineLevel="0" collapsed="false">
      <c r="A31" s="36"/>
      <c r="B31" s="5"/>
      <c r="C31" s="5"/>
      <c r="D31" s="5"/>
      <c r="E31" s="5"/>
      <c r="F31" s="5"/>
      <c r="G31" s="5"/>
      <c r="H31" s="22" t="str">
        <f aca="false">IF(OR($B31="",$D31="",$E31=""),"",$B31&amp;"|"&amp;$D31&amp;"|"&amp;$E31)</f>
        <v/>
      </c>
    </row>
    <row r="32" customFormat="false" ht="14.25" hidden="false" customHeight="true" outlineLevel="0" collapsed="false">
      <c r="A32" s="36"/>
      <c r="B32" s="5"/>
      <c r="C32" s="5"/>
      <c r="D32" s="5"/>
      <c r="E32" s="5"/>
      <c r="F32" s="5"/>
      <c r="G32" s="5"/>
      <c r="H32" s="22" t="str">
        <f aca="false">IF(OR($B32="",$D32="",$E32=""),"",$B32&amp;"|"&amp;$D32&amp;"|"&amp;$E32)</f>
        <v/>
      </c>
    </row>
    <row r="33" customFormat="false" ht="14.25" hidden="false" customHeight="true" outlineLevel="0" collapsed="false">
      <c r="A33" s="36"/>
      <c r="B33" s="5"/>
      <c r="C33" s="5"/>
      <c r="D33" s="5"/>
      <c r="E33" s="5"/>
      <c r="F33" s="5"/>
      <c r="G33" s="5"/>
      <c r="H33" s="22" t="str">
        <f aca="false">IF(OR($B33="",$D33="",$E33=""),"",$B33&amp;"|"&amp;$D33&amp;"|"&amp;$E33)</f>
        <v/>
      </c>
    </row>
    <row r="34" customFormat="false" ht="14.25" hidden="false" customHeight="true" outlineLevel="0" collapsed="false">
      <c r="A34" s="36"/>
      <c r="B34" s="5"/>
      <c r="C34" s="5"/>
      <c r="D34" s="5"/>
      <c r="E34" s="5"/>
      <c r="F34" s="5"/>
      <c r="G34" s="5"/>
      <c r="H34" s="22" t="str">
        <f aca="false">IF(OR($B34="",$D34="",$E34=""),"",$B34&amp;"|"&amp;$D34&amp;"|"&amp;$E34)</f>
        <v/>
      </c>
    </row>
    <row r="35" customFormat="false" ht="14.25" hidden="false" customHeight="true" outlineLevel="0" collapsed="false">
      <c r="A35" s="36"/>
      <c r="B35" s="5"/>
      <c r="C35" s="5"/>
      <c r="D35" s="5"/>
      <c r="E35" s="5"/>
      <c r="F35" s="5"/>
      <c r="G35" s="5"/>
      <c r="H35" s="22" t="str">
        <f aca="false">IF(OR($B35="",$D35="",$E35=""),"",$B35&amp;"|"&amp;$D35&amp;"|"&amp;$E35)</f>
        <v/>
      </c>
    </row>
    <row r="36" customFormat="false" ht="14.25" hidden="false" customHeight="true" outlineLevel="0" collapsed="false">
      <c r="A36" s="36"/>
      <c r="B36" s="5"/>
      <c r="C36" s="5"/>
      <c r="D36" s="5"/>
      <c r="E36" s="5"/>
      <c r="F36" s="5"/>
      <c r="G36" s="5"/>
      <c r="H36" s="22" t="str">
        <f aca="false">IF(OR($B36="",$D36="",$E36=""),"",$B36&amp;"|"&amp;$D36&amp;"|"&amp;$E36)</f>
        <v/>
      </c>
    </row>
    <row r="37" customFormat="false" ht="14.25" hidden="false" customHeight="true" outlineLevel="0" collapsed="false">
      <c r="A37" s="36"/>
      <c r="B37" s="5"/>
      <c r="C37" s="5"/>
      <c r="D37" s="5"/>
      <c r="E37" s="5"/>
      <c r="F37" s="5"/>
      <c r="G37" s="5"/>
      <c r="H37" s="22" t="str">
        <f aca="false">IF(OR($B37="",$D37="",$E37=""),"",$B37&amp;"|"&amp;$D37&amp;"|"&amp;$E37)</f>
        <v/>
      </c>
    </row>
    <row r="38" customFormat="false" ht="14.25" hidden="false" customHeight="true" outlineLevel="0" collapsed="false">
      <c r="A38" s="36"/>
      <c r="B38" s="5"/>
      <c r="C38" s="5"/>
      <c r="D38" s="5"/>
      <c r="E38" s="5"/>
      <c r="F38" s="5"/>
      <c r="G38" s="5"/>
      <c r="H38" s="22" t="str">
        <f aca="false">IF(OR($B38="",$D38="",$E38=""),"",$B38&amp;"|"&amp;$D38&amp;"|"&amp;$E38)</f>
        <v/>
      </c>
    </row>
    <row r="39" customFormat="false" ht="14.25" hidden="false" customHeight="true" outlineLevel="0" collapsed="false">
      <c r="A39" s="36"/>
      <c r="B39" s="5"/>
      <c r="C39" s="5"/>
      <c r="D39" s="5"/>
      <c r="E39" s="5"/>
      <c r="F39" s="5"/>
      <c r="G39" s="5"/>
      <c r="H39" s="22" t="str">
        <f aca="false">IF(OR($B39="",$D39="",$E39=""),"",$B39&amp;"|"&amp;$D39&amp;"|"&amp;$E39)</f>
        <v/>
      </c>
    </row>
    <row r="40" customFormat="false" ht="14.25" hidden="false" customHeight="true" outlineLevel="0" collapsed="false">
      <c r="A40" s="36"/>
      <c r="B40" s="5"/>
      <c r="C40" s="5"/>
      <c r="D40" s="5"/>
      <c r="E40" s="5"/>
      <c r="F40" s="5"/>
      <c r="G40" s="5"/>
      <c r="H40" s="22" t="str">
        <f aca="false">IF(OR($B40="",$D40="",$E40=""),"",$B40&amp;"|"&amp;$D40&amp;"|"&amp;$E40)</f>
        <v/>
      </c>
    </row>
    <row r="41" customFormat="false" ht="14.25" hidden="false" customHeight="true" outlineLevel="0" collapsed="false">
      <c r="A41" s="36"/>
      <c r="B41" s="5"/>
      <c r="C41" s="5"/>
      <c r="D41" s="5"/>
      <c r="E41" s="5"/>
      <c r="F41" s="5"/>
      <c r="G41" s="5"/>
      <c r="H41" s="22" t="str">
        <f aca="false">IF(OR($B41="",$D41="",$E41=""),"",$B41&amp;"|"&amp;$D41&amp;"|"&amp;$E41)</f>
        <v/>
      </c>
    </row>
    <row r="42" customFormat="false" ht="14.25" hidden="false" customHeight="true" outlineLevel="0" collapsed="false">
      <c r="A42" s="36"/>
      <c r="B42" s="5"/>
      <c r="C42" s="5"/>
      <c r="D42" s="5"/>
      <c r="E42" s="5"/>
      <c r="F42" s="5"/>
      <c r="G42" s="5"/>
      <c r="H42" s="22" t="str">
        <f aca="false">IF(OR($B42="",$D42="",$E42=""),"",$B42&amp;"|"&amp;$D42&amp;"|"&amp;$E42)</f>
        <v/>
      </c>
    </row>
    <row r="43" customFormat="false" ht="14.25" hidden="false" customHeight="true" outlineLevel="0" collapsed="false">
      <c r="A43" s="36"/>
      <c r="B43" s="5"/>
      <c r="C43" s="5"/>
      <c r="D43" s="5"/>
      <c r="E43" s="5"/>
      <c r="F43" s="5"/>
      <c r="G43" s="5"/>
      <c r="H43" s="22" t="str">
        <f aca="false">IF(OR($B43="",$D43="",$E43=""),"",$B43&amp;"|"&amp;$D43&amp;"|"&amp;$E43)</f>
        <v/>
      </c>
    </row>
    <row r="44" customFormat="false" ht="14.25" hidden="false" customHeight="true" outlineLevel="0" collapsed="false">
      <c r="A44" s="36"/>
      <c r="B44" s="5"/>
      <c r="C44" s="5"/>
      <c r="D44" s="5"/>
      <c r="E44" s="5"/>
      <c r="F44" s="5"/>
      <c r="G44" s="5"/>
      <c r="H44" s="22" t="str">
        <f aca="false">IF(OR($B44="",$D44="",$E44=""),"",$B44&amp;"|"&amp;$D44&amp;"|"&amp;$E44)</f>
        <v/>
      </c>
    </row>
    <row r="45" customFormat="false" ht="14.25" hidden="false" customHeight="true" outlineLevel="0" collapsed="false">
      <c r="A45" s="36"/>
      <c r="B45" s="5"/>
      <c r="C45" s="5"/>
      <c r="D45" s="5"/>
      <c r="E45" s="5"/>
      <c r="F45" s="5"/>
      <c r="G45" s="5"/>
      <c r="H45" s="22" t="str">
        <f aca="false">IF(OR($B45="",$D45="",$E45=""),"",$B45&amp;"|"&amp;$D45&amp;"|"&amp;$E45)</f>
        <v/>
      </c>
    </row>
    <row r="46" customFormat="false" ht="14.25" hidden="false" customHeight="true" outlineLevel="0" collapsed="false">
      <c r="A46" s="36"/>
      <c r="B46" s="5"/>
      <c r="C46" s="5"/>
      <c r="D46" s="5"/>
      <c r="E46" s="5"/>
      <c r="F46" s="5"/>
      <c r="G46" s="5"/>
      <c r="H46" s="22" t="str">
        <f aca="false">IF(OR($B46="",$D46="",$E46=""),"",$B46&amp;"|"&amp;$D46&amp;"|"&amp;$E46)</f>
        <v/>
      </c>
    </row>
    <row r="47" customFormat="false" ht="14.25" hidden="false" customHeight="true" outlineLevel="0" collapsed="false">
      <c r="A47" s="36"/>
      <c r="B47" s="5"/>
      <c r="C47" s="5"/>
      <c r="D47" s="5"/>
      <c r="E47" s="5"/>
      <c r="F47" s="5"/>
      <c r="G47" s="5"/>
      <c r="H47" s="22" t="str">
        <f aca="false">IF(OR($B47="",$D47="",$E47=""),"",$B47&amp;"|"&amp;$D47&amp;"|"&amp;$E47)</f>
        <v/>
      </c>
    </row>
    <row r="48" customFormat="false" ht="14.25" hidden="false" customHeight="true" outlineLevel="0" collapsed="false">
      <c r="A48" s="36"/>
      <c r="B48" s="5"/>
      <c r="C48" s="5"/>
      <c r="D48" s="5"/>
      <c r="E48" s="5"/>
      <c r="F48" s="5"/>
      <c r="G48" s="5"/>
      <c r="H48" s="22" t="str">
        <f aca="false">IF(OR($B48="",$D48="",$E48=""),"",$B48&amp;"|"&amp;$D48&amp;"|"&amp;$E48)</f>
        <v/>
      </c>
    </row>
    <row r="49" customFormat="false" ht="14.25" hidden="false" customHeight="true" outlineLevel="0" collapsed="false">
      <c r="A49" s="36"/>
      <c r="B49" s="5"/>
      <c r="C49" s="5"/>
      <c r="D49" s="5"/>
      <c r="E49" s="5"/>
      <c r="F49" s="5"/>
      <c r="G49" s="5"/>
      <c r="H49" s="22" t="str">
        <f aca="false">IF(OR($B49="",$D49="",$E49=""),"",$B49&amp;"|"&amp;$D49&amp;"|"&amp;$E49)</f>
        <v/>
      </c>
    </row>
    <row r="50" customFormat="false" ht="14.25" hidden="false" customHeight="true" outlineLevel="0" collapsed="false">
      <c r="A50" s="36"/>
      <c r="B50" s="5"/>
      <c r="C50" s="5"/>
      <c r="D50" s="5"/>
      <c r="E50" s="5"/>
      <c r="F50" s="5"/>
      <c r="G50" s="5"/>
      <c r="H50" s="22" t="str">
        <f aca="false">IF(OR($B50="",$D50="",$E50=""),"",$B50&amp;"|"&amp;$D50&amp;"|"&amp;$E50)</f>
        <v/>
      </c>
    </row>
    <row r="51" customFormat="false" ht="14.25" hidden="false" customHeight="true" outlineLevel="0" collapsed="false">
      <c r="A51" s="36"/>
      <c r="B51" s="5"/>
      <c r="C51" s="5"/>
      <c r="D51" s="5"/>
      <c r="E51" s="5"/>
      <c r="F51" s="5"/>
      <c r="G51" s="5"/>
      <c r="H51" s="22" t="str">
        <f aca="false">IF(OR($B51="",$D51="",$E51=""),"",$B51&amp;"|"&amp;$D51&amp;"|"&amp;$E51)</f>
        <v/>
      </c>
    </row>
    <row r="52" customFormat="false" ht="14.25" hidden="false" customHeight="true" outlineLevel="0" collapsed="false">
      <c r="A52" s="36"/>
      <c r="B52" s="5"/>
      <c r="C52" s="5"/>
      <c r="D52" s="5"/>
      <c r="E52" s="5"/>
      <c r="F52" s="5"/>
      <c r="G52" s="5"/>
      <c r="H52" s="22" t="str">
        <f aca="false">IF(OR($B52="",$D52="",$E52=""),"",$B52&amp;"|"&amp;$D52&amp;"|"&amp;$E52)</f>
        <v/>
      </c>
    </row>
    <row r="53" customFormat="false" ht="14.25" hidden="false" customHeight="true" outlineLevel="0" collapsed="false">
      <c r="A53" s="36"/>
      <c r="B53" s="5"/>
      <c r="C53" s="5"/>
      <c r="D53" s="5"/>
      <c r="E53" s="5"/>
      <c r="F53" s="5"/>
      <c r="G53" s="5"/>
      <c r="H53" s="22" t="str">
        <f aca="false">IF(OR($B53="",$D53="",$E53=""),"",$B53&amp;"|"&amp;$D53&amp;"|"&amp;$E53)</f>
        <v/>
      </c>
    </row>
    <row r="54" customFormat="false" ht="14.25" hidden="false" customHeight="true" outlineLevel="0" collapsed="false">
      <c r="A54" s="36"/>
      <c r="B54" s="5"/>
      <c r="C54" s="5"/>
      <c r="D54" s="5"/>
      <c r="E54" s="5"/>
      <c r="F54" s="5"/>
      <c r="G54" s="5"/>
      <c r="H54" s="22" t="str">
        <f aca="false">IF(OR($B54="",$D54="",$E54=""),"",$B54&amp;"|"&amp;$D54&amp;"|"&amp;$E54)</f>
        <v/>
      </c>
    </row>
    <row r="55" customFormat="false" ht="14.25" hidden="false" customHeight="true" outlineLevel="0" collapsed="false">
      <c r="A55" s="36"/>
      <c r="B55" s="5"/>
      <c r="C55" s="5"/>
      <c r="D55" s="5"/>
      <c r="E55" s="5"/>
      <c r="F55" s="5"/>
      <c r="G55" s="5"/>
      <c r="H55" s="22" t="str">
        <f aca="false">IF(OR($B55="",$D55="",$E55=""),"",$B55&amp;"|"&amp;$D55&amp;"|"&amp;$E55)</f>
        <v/>
      </c>
    </row>
    <row r="56" customFormat="false" ht="14.25" hidden="false" customHeight="true" outlineLevel="0" collapsed="false">
      <c r="A56" s="36"/>
      <c r="B56" s="5"/>
      <c r="C56" s="5"/>
      <c r="D56" s="5"/>
      <c r="E56" s="5"/>
      <c r="F56" s="5"/>
      <c r="G56" s="5"/>
      <c r="H56" s="22" t="str">
        <f aca="false">IF(OR($B56="",$D56="",$E56=""),"",$B56&amp;"|"&amp;$D56&amp;"|"&amp;$E56)</f>
        <v/>
      </c>
    </row>
    <row r="57" customFormat="false" ht="14.25" hidden="false" customHeight="true" outlineLevel="0" collapsed="false">
      <c r="A57" s="36"/>
      <c r="B57" s="5"/>
      <c r="C57" s="5"/>
      <c r="D57" s="5"/>
      <c r="E57" s="5"/>
      <c r="F57" s="5"/>
      <c r="G57" s="5"/>
      <c r="H57" s="22" t="str">
        <f aca="false">IF(OR($B57="",$D57="",$E57=""),"",$B57&amp;"|"&amp;$D57&amp;"|"&amp;$E57)</f>
        <v/>
      </c>
    </row>
    <row r="58" customFormat="false" ht="14.25" hidden="false" customHeight="true" outlineLevel="0" collapsed="false">
      <c r="A58" s="36"/>
      <c r="B58" s="5"/>
      <c r="C58" s="5"/>
      <c r="D58" s="5"/>
      <c r="E58" s="5"/>
      <c r="F58" s="5"/>
      <c r="G58" s="5"/>
      <c r="H58" s="22" t="str">
        <f aca="false">IF(OR($B58="",$D58="",$E58=""),"",$B58&amp;"|"&amp;$D58&amp;"|"&amp;$E58)</f>
        <v/>
      </c>
    </row>
    <row r="59" customFormat="false" ht="14.25" hidden="false" customHeight="true" outlineLevel="0" collapsed="false">
      <c r="A59" s="36"/>
      <c r="B59" s="5"/>
      <c r="C59" s="5"/>
      <c r="D59" s="5"/>
      <c r="E59" s="5"/>
      <c r="F59" s="5"/>
      <c r="G59" s="5"/>
      <c r="H59" s="22" t="str">
        <f aca="false">IF(OR($B59="",$D59="",$E59=""),"",$B59&amp;"|"&amp;$D59&amp;"|"&amp;$E59)</f>
        <v/>
      </c>
    </row>
    <row r="60" customFormat="false" ht="14.25" hidden="false" customHeight="true" outlineLevel="0" collapsed="false">
      <c r="A60" s="36"/>
      <c r="B60" s="5"/>
      <c r="C60" s="5"/>
      <c r="D60" s="5"/>
      <c r="E60" s="5"/>
      <c r="F60" s="5"/>
      <c r="G60" s="5"/>
      <c r="H60" s="22" t="str">
        <f aca="false">IF(OR($B60="",$D60="",$E60=""),"",$B60&amp;"|"&amp;$D60&amp;"|"&amp;$E60)</f>
        <v/>
      </c>
    </row>
    <row r="61" customFormat="false" ht="14.25" hidden="false" customHeight="true" outlineLevel="0" collapsed="false">
      <c r="A61" s="36"/>
      <c r="B61" s="5"/>
      <c r="C61" s="5"/>
      <c r="D61" s="5"/>
      <c r="E61" s="5"/>
      <c r="F61" s="5"/>
      <c r="G61" s="5"/>
      <c r="H61" s="22" t="str">
        <f aca="false">IF(OR($B61="",$D61="",$E61=""),"",$B61&amp;"|"&amp;$D61&amp;"|"&amp;$E61)</f>
        <v/>
      </c>
    </row>
    <row r="62" customFormat="false" ht="14.25" hidden="false" customHeight="true" outlineLevel="0" collapsed="false">
      <c r="A62" s="36"/>
      <c r="B62" s="5"/>
      <c r="C62" s="5"/>
      <c r="D62" s="5"/>
      <c r="E62" s="5"/>
      <c r="F62" s="5"/>
      <c r="G62" s="5"/>
      <c r="H62" s="22" t="str">
        <f aca="false">IF(OR($B62="",$D62="",$E62=""),"",$B62&amp;"|"&amp;$D62&amp;"|"&amp;$E62)</f>
        <v/>
      </c>
    </row>
    <row r="63" customFormat="false" ht="14.25" hidden="false" customHeight="true" outlineLevel="0" collapsed="false">
      <c r="A63" s="36"/>
      <c r="B63" s="5"/>
      <c r="C63" s="5"/>
      <c r="D63" s="5"/>
      <c r="E63" s="5"/>
      <c r="F63" s="5"/>
      <c r="G63" s="5"/>
      <c r="H63" s="22" t="str">
        <f aca="false">IF(OR($B63="",$D63="",$E63=""),"",$B63&amp;"|"&amp;$D63&amp;"|"&amp;$E63)</f>
        <v/>
      </c>
    </row>
    <row r="64" customFormat="false" ht="14.25" hidden="false" customHeight="true" outlineLevel="0" collapsed="false">
      <c r="A64" s="36"/>
      <c r="B64" s="5"/>
      <c r="C64" s="5"/>
      <c r="D64" s="5"/>
      <c r="E64" s="5"/>
      <c r="F64" s="5"/>
      <c r="G64" s="5"/>
      <c r="H64" s="22" t="str">
        <f aca="false">IF(OR($B64="",$D64="",$E64=""),"",$B64&amp;"|"&amp;$D64&amp;"|"&amp;$E64)</f>
        <v/>
      </c>
    </row>
    <row r="65" customFormat="false" ht="14.25" hidden="false" customHeight="true" outlineLevel="0" collapsed="false">
      <c r="A65" s="36"/>
      <c r="B65" s="5"/>
      <c r="C65" s="5"/>
      <c r="D65" s="5"/>
      <c r="E65" s="5"/>
      <c r="F65" s="5"/>
      <c r="G65" s="5"/>
      <c r="H65" s="22" t="str">
        <f aca="false">IF(OR($B65="",$D65="",$E65=""),"",$B65&amp;"|"&amp;$D65&amp;"|"&amp;$E65)</f>
        <v/>
      </c>
    </row>
    <row r="66" customFormat="false" ht="14.25" hidden="false" customHeight="true" outlineLevel="0" collapsed="false">
      <c r="A66" s="36"/>
      <c r="B66" s="5"/>
      <c r="C66" s="5"/>
      <c r="D66" s="5"/>
      <c r="E66" s="5"/>
      <c r="F66" s="5"/>
      <c r="G66" s="5"/>
      <c r="H66" s="22" t="str">
        <f aca="false">IF(OR($B66="",$D66="",$E66=""),"",$B66&amp;"|"&amp;$D66&amp;"|"&amp;$E66)</f>
        <v/>
      </c>
    </row>
    <row r="67" customFormat="false" ht="14.25" hidden="false" customHeight="true" outlineLevel="0" collapsed="false">
      <c r="A67" s="36"/>
      <c r="B67" s="5"/>
      <c r="C67" s="5"/>
      <c r="D67" s="5"/>
      <c r="E67" s="5"/>
      <c r="F67" s="5"/>
      <c r="G67" s="5"/>
      <c r="H67" s="22" t="str">
        <f aca="false">IF(OR($B67="",$D67="",$E67=""),"",$B67&amp;"|"&amp;$D67&amp;"|"&amp;$E67)</f>
        <v/>
      </c>
    </row>
    <row r="68" customFormat="false" ht="14.25" hidden="false" customHeight="true" outlineLevel="0" collapsed="false">
      <c r="A68" s="36"/>
      <c r="B68" s="5"/>
      <c r="C68" s="5"/>
      <c r="D68" s="5"/>
      <c r="E68" s="5"/>
      <c r="F68" s="5"/>
      <c r="G68" s="5"/>
      <c r="H68" s="22" t="str">
        <f aca="false">IF(OR($B68="",$D68="",$E68=""),"",$B68&amp;"|"&amp;$D68&amp;"|"&amp;$E68)</f>
        <v/>
      </c>
    </row>
    <row r="69" customFormat="false" ht="14.25" hidden="false" customHeight="true" outlineLevel="0" collapsed="false">
      <c r="A69" s="36"/>
      <c r="B69" s="5"/>
      <c r="C69" s="5"/>
      <c r="D69" s="5"/>
      <c r="E69" s="5"/>
      <c r="F69" s="5"/>
      <c r="G69" s="5"/>
      <c r="H69" s="22" t="str">
        <f aca="false">IF(OR($B69="",$D69="",$E69=""),"",$B69&amp;"|"&amp;$D69&amp;"|"&amp;$E69)</f>
        <v/>
      </c>
    </row>
    <row r="70" customFormat="false" ht="14.25" hidden="false" customHeight="true" outlineLevel="0" collapsed="false">
      <c r="A70" s="36"/>
      <c r="B70" s="5"/>
      <c r="C70" s="5"/>
      <c r="D70" s="5"/>
      <c r="E70" s="5"/>
      <c r="F70" s="5"/>
      <c r="G70" s="5"/>
      <c r="H70" s="22" t="str">
        <f aca="false">IF(OR($B70="",$D70="",$E70=""),"",$B70&amp;"|"&amp;$D70&amp;"|"&amp;$E70)</f>
        <v/>
      </c>
    </row>
    <row r="71" customFormat="false" ht="14.25" hidden="false" customHeight="true" outlineLevel="0" collapsed="false">
      <c r="A71" s="36"/>
      <c r="B71" s="5"/>
      <c r="C71" s="5"/>
      <c r="D71" s="5"/>
      <c r="E71" s="5"/>
      <c r="F71" s="5"/>
      <c r="G71" s="5"/>
      <c r="H71" s="22" t="str">
        <f aca="false">IF(OR($B71="",$D71="",$E71=""),"",$B71&amp;"|"&amp;$D71&amp;"|"&amp;$E71)</f>
        <v/>
      </c>
    </row>
    <row r="72" customFormat="false" ht="14.25" hidden="false" customHeight="true" outlineLevel="0" collapsed="false">
      <c r="A72" s="36"/>
      <c r="B72" s="5"/>
      <c r="C72" s="5"/>
      <c r="D72" s="5"/>
      <c r="E72" s="5"/>
      <c r="F72" s="5"/>
      <c r="G72" s="5"/>
      <c r="H72" s="22" t="str">
        <f aca="false">IF(OR($B72="",$D72="",$E72=""),"",$B72&amp;"|"&amp;$D72&amp;"|"&amp;$E72)</f>
        <v/>
      </c>
    </row>
    <row r="73" customFormat="false" ht="14.25" hidden="false" customHeight="true" outlineLevel="0" collapsed="false">
      <c r="A73" s="36"/>
      <c r="B73" s="5"/>
      <c r="C73" s="5"/>
      <c r="D73" s="5"/>
      <c r="E73" s="5"/>
      <c r="F73" s="5"/>
      <c r="G73" s="5"/>
      <c r="H73" s="22" t="str">
        <f aca="false">IF(OR($B73="",$D73="",$E73=""),"",$B73&amp;"|"&amp;$D73&amp;"|"&amp;$E73)</f>
        <v/>
      </c>
    </row>
    <row r="74" customFormat="false" ht="14.25" hidden="false" customHeight="true" outlineLevel="0" collapsed="false">
      <c r="A74" s="36"/>
      <c r="B74" s="5"/>
      <c r="C74" s="5"/>
      <c r="D74" s="5"/>
      <c r="E74" s="5"/>
      <c r="F74" s="5"/>
      <c r="G74" s="5"/>
      <c r="H74" s="22" t="str">
        <f aca="false">IF(OR($B74="",$D74="",$E74=""),"",$B74&amp;"|"&amp;$D74&amp;"|"&amp;$E74)</f>
        <v/>
      </c>
    </row>
    <row r="75" customFormat="false" ht="14.25" hidden="false" customHeight="true" outlineLevel="0" collapsed="false">
      <c r="A75" s="36"/>
      <c r="B75" s="5"/>
      <c r="C75" s="5"/>
      <c r="D75" s="5"/>
      <c r="E75" s="5"/>
      <c r="F75" s="5"/>
      <c r="G75" s="5"/>
      <c r="H75" s="22" t="str">
        <f aca="false">IF(OR($B75="",$D75="",$E75=""),"",$B75&amp;"|"&amp;$D75&amp;"|"&amp;$E75)</f>
        <v/>
      </c>
    </row>
    <row r="76" customFormat="false" ht="14.25" hidden="false" customHeight="true" outlineLevel="0" collapsed="false">
      <c r="A76" s="36"/>
      <c r="B76" s="5"/>
      <c r="C76" s="5"/>
      <c r="D76" s="5"/>
      <c r="E76" s="5"/>
      <c r="F76" s="5"/>
      <c r="G76" s="5"/>
      <c r="H76" s="22" t="str">
        <f aca="false">IF(OR($B76="",$D76="",$E76=""),"",$B76&amp;"|"&amp;$D76&amp;"|"&amp;$E76)</f>
        <v/>
      </c>
    </row>
    <row r="77" customFormat="false" ht="14.25" hidden="false" customHeight="true" outlineLevel="0" collapsed="false">
      <c r="A77" s="36"/>
      <c r="B77" s="5"/>
      <c r="C77" s="5"/>
      <c r="D77" s="5"/>
      <c r="E77" s="5"/>
      <c r="F77" s="5"/>
      <c r="G77" s="5"/>
      <c r="H77" s="22" t="str">
        <f aca="false">IF(OR($B77="",$D77="",$E77=""),"",$B77&amp;"|"&amp;$D77&amp;"|"&amp;$E77)</f>
        <v/>
      </c>
    </row>
    <row r="78" customFormat="false" ht="14.25" hidden="false" customHeight="true" outlineLevel="0" collapsed="false">
      <c r="A78" s="36"/>
      <c r="B78" s="5"/>
      <c r="C78" s="5"/>
      <c r="D78" s="5"/>
      <c r="E78" s="5"/>
      <c r="F78" s="5"/>
      <c r="G78" s="5"/>
      <c r="H78" s="22" t="str">
        <f aca="false">IF(OR($B78="",$D78="",$E78=""),"",$B78&amp;"|"&amp;$D78&amp;"|"&amp;$E78)</f>
        <v/>
      </c>
    </row>
    <row r="79" customFormat="false" ht="14.25" hidden="false" customHeight="true" outlineLevel="0" collapsed="false">
      <c r="A79" s="36"/>
      <c r="B79" s="5"/>
      <c r="C79" s="5"/>
      <c r="D79" s="5"/>
      <c r="E79" s="5"/>
      <c r="F79" s="5"/>
      <c r="G79" s="5"/>
      <c r="H79" s="22" t="str">
        <f aca="false">IF(OR($B79="",$D79="",$E79=""),"",$B79&amp;"|"&amp;$D79&amp;"|"&amp;$E79)</f>
        <v/>
      </c>
    </row>
    <row r="80" customFormat="false" ht="14.25" hidden="false" customHeight="true" outlineLevel="0" collapsed="false">
      <c r="A80" s="36"/>
      <c r="B80" s="5"/>
      <c r="C80" s="5"/>
      <c r="D80" s="5"/>
      <c r="E80" s="5"/>
      <c r="F80" s="5"/>
      <c r="G80" s="5"/>
      <c r="H80" s="22" t="str">
        <f aca="false">IF(OR($B80="",$D80="",$E80=""),"",$B80&amp;"|"&amp;$D80&amp;"|"&amp;$E80)</f>
        <v/>
      </c>
    </row>
    <row r="81" customFormat="false" ht="14.25" hidden="false" customHeight="true" outlineLevel="0" collapsed="false">
      <c r="A81" s="36"/>
      <c r="B81" s="5"/>
      <c r="C81" s="5"/>
      <c r="D81" s="5"/>
      <c r="E81" s="5"/>
      <c r="F81" s="5"/>
      <c r="G81" s="5"/>
      <c r="H81" s="22" t="str">
        <f aca="false">IF(OR($B81="",$D81="",$E81=""),"",$B81&amp;"|"&amp;$D81&amp;"|"&amp;$E81)</f>
        <v/>
      </c>
    </row>
    <row r="82" customFormat="false" ht="14.25" hidden="false" customHeight="true" outlineLevel="0" collapsed="false">
      <c r="A82" s="36"/>
      <c r="B82" s="5"/>
      <c r="C82" s="5"/>
      <c r="D82" s="5"/>
      <c r="E82" s="5"/>
      <c r="F82" s="5"/>
      <c r="G82" s="5"/>
      <c r="H82" s="22" t="str">
        <f aca="false">IF(OR($B82="",$D82="",$E82=""),"",$B82&amp;"|"&amp;$D82&amp;"|"&amp;$E82)</f>
        <v/>
      </c>
    </row>
    <row r="83" customFormat="false" ht="14.25" hidden="false" customHeight="true" outlineLevel="0" collapsed="false">
      <c r="A83" s="36"/>
      <c r="B83" s="5"/>
      <c r="C83" s="5"/>
      <c r="D83" s="5"/>
      <c r="E83" s="5"/>
      <c r="F83" s="5"/>
      <c r="G83" s="5"/>
      <c r="H83" s="22" t="str">
        <f aca="false">IF(OR($B83="",$D83="",$E83=""),"",$B83&amp;"|"&amp;$D83&amp;"|"&amp;$E83)</f>
        <v/>
      </c>
    </row>
    <row r="84" customFormat="false" ht="14.25" hidden="false" customHeight="true" outlineLevel="0" collapsed="false">
      <c r="A84" s="36"/>
      <c r="B84" s="5"/>
      <c r="C84" s="5"/>
      <c r="D84" s="5"/>
      <c r="E84" s="5"/>
      <c r="F84" s="5"/>
      <c r="G84" s="5"/>
      <c r="H84" s="22" t="str">
        <f aca="false">IF(OR($B84="",$D84="",$E84=""),"",$B84&amp;"|"&amp;$D84&amp;"|"&amp;$E84)</f>
        <v/>
      </c>
    </row>
    <row r="85" customFormat="false" ht="14.25" hidden="false" customHeight="true" outlineLevel="0" collapsed="false">
      <c r="A85" s="36"/>
      <c r="B85" s="5"/>
      <c r="C85" s="5"/>
      <c r="D85" s="5"/>
      <c r="E85" s="5"/>
      <c r="F85" s="5"/>
      <c r="G85" s="5"/>
      <c r="H85" s="22" t="str">
        <f aca="false">IF(OR($B85="",$D85="",$E85=""),"",$B85&amp;"|"&amp;$D85&amp;"|"&amp;$E85)</f>
        <v/>
      </c>
    </row>
    <row r="86" customFormat="false" ht="14.25" hidden="false" customHeight="true" outlineLevel="0" collapsed="false">
      <c r="A86" s="36"/>
      <c r="B86" s="5"/>
      <c r="C86" s="5"/>
      <c r="D86" s="5"/>
      <c r="E86" s="5"/>
      <c r="F86" s="5"/>
      <c r="G86" s="5"/>
      <c r="H86" s="22" t="str">
        <f aca="false">IF(OR($B86="",$D86="",$E86=""),"",$B86&amp;"|"&amp;$D86&amp;"|"&amp;$E86)</f>
        <v/>
      </c>
    </row>
    <row r="87" customFormat="false" ht="14.25" hidden="false" customHeight="true" outlineLevel="0" collapsed="false">
      <c r="A87" s="36"/>
      <c r="B87" s="5"/>
      <c r="C87" s="5"/>
      <c r="D87" s="5"/>
      <c r="E87" s="5"/>
      <c r="F87" s="5"/>
      <c r="G87" s="5"/>
      <c r="H87" s="22" t="str">
        <f aca="false">IF(OR($B87="",$D87="",$E87=""),"",$B87&amp;"|"&amp;$D87&amp;"|"&amp;$E87)</f>
        <v/>
      </c>
    </row>
    <row r="88" customFormat="false" ht="14.25" hidden="false" customHeight="true" outlineLevel="0" collapsed="false">
      <c r="A88" s="36"/>
      <c r="B88" s="5"/>
      <c r="C88" s="5"/>
      <c r="D88" s="5"/>
      <c r="E88" s="5"/>
      <c r="F88" s="5"/>
      <c r="G88" s="5"/>
      <c r="H88" s="22" t="str">
        <f aca="false">IF(OR($B88="",$D88="",$E88=""),"",$B88&amp;"|"&amp;$D88&amp;"|"&amp;$E88)</f>
        <v/>
      </c>
    </row>
    <row r="89" customFormat="false" ht="14.25" hidden="false" customHeight="true" outlineLevel="0" collapsed="false">
      <c r="A89" s="36"/>
      <c r="B89" s="5"/>
      <c r="C89" s="5"/>
      <c r="D89" s="5"/>
      <c r="E89" s="5"/>
      <c r="F89" s="5"/>
      <c r="G89" s="5"/>
      <c r="H89" s="22" t="str">
        <f aca="false">IF(OR($B89="",$D89="",$E89=""),"",$B89&amp;"|"&amp;$D89&amp;"|"&amp;$E89)</f>
        <v/>
      </c>
    </row>
    <row r="90" customFormat="false" ht="14.25" hidden="false" customHeight="true" outlineLevel="0" collapsed="false">
      <c r="A90" s="36"/>
      <c r="B90" s="5"/>
      <c r="C90" s="5"/>
      <c r="D90" s="5"/>
      <c r="E90" s="5"/>
      <c r="F90" s="5"/>
      <c r="G90" s="5"/>
      <c r="H90" s="22" t="str">
        <f aca="false">IF(OR($B90="",$D90="",$E90=""),"",$B90&amp;"|"&amp;$D90&amp;"|"&amp;$E90)</f>
        <v/>
      </c>
    </row>
    <row r="91" customFormat="false" ht="14.25" hidden="false" customHeight="true" outlineLevel="0" collapsed="false">
      <c r="A91" s="36"/>
      <c r="B91" s="5"/>
      <c r="C91" s="5"/>
      <c r="D91" s="5"/>
      <c r="E91" s="5"/>
      <c r="F91" s="5"/>
      <c r="G91" s="5"/>
      <c r="H91" s="22" t="str">
        <f aca="false">IF(OR($B91="",$D91="",$E91=""),"",$B91&amp;"|"&amp;$D91&amp;"|"&amp;$E91)</f>
        <v/>
      </c>
    </row>
    <row r="92" customFormat="false" ht="14.25" hidden="false" customHeight="true" outlineLevel="0" collapsed="false">
      <c r="A92" s="36"/>
      <c r="B92" s="5"/>
      <c r="C92" s="5"/>
      <c r="D92" s="5"/>
      <c r="E92" s="5"/>
      <c r="F92" s="5"/>
      <c r="G92" s="5"/>
      <c r="H92" s="22" t="str">
        <f aca="false">IF(OR($B92="",$D92="",$E92=""),"",$B92&amp;"|"&amp;$D92&amp;"|"&amp;$E92)</f>
        <v/>
      </c>
    </row>
    <row r="93" customFormat="false" ht="14.25" hidden="false" customHeight="true" outlineLevel="0" collapsed="false">
      <c r="A93" s="36"/>
      <c r="B93" s="5"/>
      <c r="C93" s="5"/>
      <c r="D93" s="5"/>
      <c r="E93" s="5"/>
      <c r="F93" s="5"/>
      <c r="G93" s="5"/>
      <c r="H93" s="22" t="str">
        <f aca="false">IF(OR($B93="",$D93="",$E93=""),"",$B93&amp;"|"&amp;$D93&amp;"|"&amp;$E93)</f>
        <v/>
      </c>
    </row>
    <row r="94" customFormat="false" ht="14.25" hidden="false" customHeight="true" outlineLevel="0" collapsed="false">
      <c r="A94" s="36"/>
      <c r="B94" s="5"/>
      <c r="C94" s="5"/>
      <c r="D94" s="5"/>
      <c r="E94" s="5"/>
      <c r="F94" s="5"/>
      <c r="G94" s="5"/>
      <c r="H94" s="22" t="str">
        <f aca="false">IF(OR($B94="",$D94="",$E94=""),"",$B94&amp;"|"&amp;$D94&amp;"|"&amp;$E94)</f>
        <v/>
      </c>
    </row>
    <row r="95" customFormat="false" ht="14.25" hidden="false" customHeight="true" outlineLevel="0" collapsed="false">
      <c r="A95" s="36"/>
      <c r="B95" s="5"/>
      <c r="C95" s="5"/>
      <c r="D95" s="5"/>
      <c r="E95" s="5"/>
      <c r="F95" s="5"/>
      <c r="G95" s="5"/>
      <c r="H95" s="22" t="str">
        <f aca="false">IF(OR($B95="",$D95="",$E95=""),"",$B95&amp;"|"&amp;$D95&amp;"|"&amp;$E95)</f>
        <v/>
      </c>
    </row>
    <row r="96" customFormat="false" ht="14.25" hidden="false" customHeight="true" outlineLevel="0" collapsed="false">
      <c r="A96" s="36"/>
      <c r="B96" s="5"/>
      <c r="C96" s="5"/>
      <c r="D96" s="5"/>
      <c r="E96" s="5"/>
      <c r="F96" s="5"/>
      <c r="G96" s="5"/>
      <c r="H96" s="22" t="str">
        <f aca="false">IF(OR($B96="",$D96="",$E96=""),"",$B96&amp;"|"&amp;$D96&amp;"|"&amp;$E96)</f>
        <v/>
      </c>
    </row>
    <row r="97" customFormat="false" ht="14.25" hidden="false" customHeight="true" outlineLevel="0" collapsed="false">
      <c r="A97" s="36"/>
      <c r="B97" s="5"/>
      <c r="C97" s="5"/>
      <c r="D97" s="5"/>
      <c r="E97" s="5"/>
      <c r="F97" s="5"/>
      <c r="G97" s="5"/>
      <c r="H97" s="22" t="str">
        <f aca="false">IF(OR($B97="",$D97="",$E97=""),"",$B97&amp;"|"&amp;$D97&amp;"|"&amp;$E97)</f>
        <v/>
      </c>
    </row>
    <row r="98" customFormat="false" ht="14.25" hidden="false" customHeight="true" outlineLevel="0" collapsed="false">
      <c r="A98" s="36"/>
      <c r="B98" s="5"/>
      <c r="C98" s="5"/>
      <c r="D98" s="5"/>
      <c r="E98" s="5"/>
      <c r="F98" s="5"/>
      <c r="G98" s="5"/>
      <c r="H98" s="22" t="str">
        <f aca="false">IF(OR($B98="",$D98="",$E98=""),"",$B98&amp;"|"&amp;$D98&amp;"|"&amp;$E98)</f>
        <v/>
      </c>
    </row>
    <row r="99" customFormat="false" ht="14.25" hidden="false" customHeight="true" outlineLevel="0" collapsed="false">
      <c r="A99" s="36"/>
      <c r="B99" s="5"/>
      <c r="C99" s="5"/>
      <c r="D99" s="5"/>
      <c r="E99" s="5"/>
      <c r="F99" s="5"/>
      <c r="G99" s="5"/>
      <c r="H99" s="22" t="str">
        <f aca="false">IF(OR($B99="",$D99="",$E99=""),"",$B99&amp;"|"&amp;$D99&amp;"|"&amp;$E99)</f>
        <v/>
      </c>
    </row>
    <row r="100" customFormat="false" ht="14.25" hidden="false" customHeight="true" outlineLevel="0" collapsed="false">
      <c r="A100" s="36"/>
      <c r="B100" s="5"/>
      <c r="C100" s="5"/>
      <c r="D100" s="5"/>
      <c r="E100" s="5"/>
      <c r="F100" s="5"/>
      <c r="G100" s="5"/>
      <c r="H100" s="22" t="str">
        <f aca="false">IF(OR($B100="",$D100="",$E100=""),"",$B100&amp;"|"&amp;$D100&amp;"|"&amp;$E100)</f>
        <v/>
      </c>
    </row>
    <row r="101" customFormat="false" ht="14.25" hidden="false" customHeight="true" outlineLevel="0" collapsed="false">
      <c r="A101" s="36"/>
      <c r="B101" s="5"/>
      <c r="C101" s="5"/>
      <c r="D101" s="5"/>
      <c r="E101" s="5"/>
      <c r="F101" s="5"/>
      <c r="G101" s="5"/>
      <c r="H101" s="5"/>
    </row>
    <row r="102" customFormat="false" ht="14.25" hidden="false" customHeight="true" outlineLevel="0" collapsed="false">
      <c r="A102" s="36"/>
      <c r="B102" s="5"/>
      <c r="C102" s="5"/>
      <c r="D102" s="5"/>
      <c r="E102" s="5"/>
      <c r="F102" s="5"/>
      <c r="G102" s="5"/>
      <c r="H102" s="5"/>
    </row>
    <row r="103" customFormat="false" ht="14.25" hidden="false" customHeight="true" outlineLevel="0" collapsed="false">
      <c r="A103" s="36"/>
      <c r="B103" s="5"/>
      <c r="C103" s="5"/>
      <c r="D103" s="5"/>
      <c r="E103" s="5"/>
      <c r="F103" s="5"/>
      <c r="G103" s="5"/>
      <c r="H103" s="5"/>
    </row>
    <row r="104" customFormat="false" ht="14.25" hidden="false" customHeight="true" outlineLevel="0" collapsed="false">
      <c r="A104" s="36"/>
      <c r="B104" s="5"/>
      <c r="C104" s="5"/>
      <c r="D104" s="5"/>
      <c r="E104" s="5"/>
      <c r="F104" s="5"/>
      <c r="G104" s="5"/>
      <c r="H104" s="5"/>
    </row>
    <row r="105" customFormat="false" ht="14.25" hidden="false" customHeight="true" outlineLevel="0" collapsed="false">
      <c r="A105" s="36"/>
      <c r="B105" s="5"/>
      <c r="C105" s="5"/>
      <c r="D105" s="5"/>
      <c r="E105" s="5"/>
      <c r="F105" s="5"/>
      <c r="G105" s="5"/>
      <c r="H105" s="5"/>
    </row>
    <row r="106" customFormat="false" ht="14.25" hidden="false" customHeight="true" outlineLevel="0" collapsed="false">
      <c r="A106" s="36"/>
      <c r="B106" s="5"/>
      <c r="C106" s="5"/>
      <c r="D106" s="5"/>
      <c r="E106" s="5"/>
      <c r="F106" s="5"/>
      <c r="G106" s="5"/>
      <c r="H106" s="5"/>
    </row>
    <row r="107" customFormat="false" ht="14.25" hidden="false" customHeight="true" outlineLevel="0" collapsed="false">
      <c r="A107" s="36"/>
      <c r="B107" s="5"/>
      <c r="C107" s="5"/>
      <c r="D107" s="5"/>
      <c r="E107" s="5"/>
      <c r="F107" s="5"/>
      <c r="G107" s="5"/>
      <c r="H107" s="5"/>
    </row>
    <row r="108" customFormat="false" ht="14.25" hidden="false" customHeight="true" outlineLevel="0" collapsed="false">
      <c r="A108" s="36"/>
      <c r="B108" s="5"/>
      <c r="C108" s="5"/>
      <c r="D108" s="5"/>
      <c r="E108" s="5"/>
      <c r="F108" s="5"/>
      <c r="G108" s="5"/>
      <c r="H108" s="5"/>
    </row>
    <row r="109" customFormat="false" ht="14.25" hidden="false" customHeight="true" outlineLevel="0" collapsed="false">
      <c r="A109" s="36"/>
      <c r="B109" s="5"/>
      <c r="C109" s="5"/>
      <c r="D109" s="5"/>
      <c r="E109" s="5"/>
      <c r="F109" s="5"/>
      <c r="G109" s="5"/>
      <c r="H109" s="5"/>
    </row>
    <row r="110" customFormat="false" ht="14.25" hidden="false" customHeight="true" outlineLevel="0" collapsed="false">
      <c r="A110" s="36"/>
      <c r="B110" s="5"/>
      <c r="C110" s="5"/>
      <c r="D110" s="5"/>
      <c r="E110" s="5"/>
      <c r="F110" s="5"/>
      <c r="G110" s="5"/>
      <c r="H110" s="5"/>
    </row>
    <row r="111" customFormat="false" ht="14.25" hidden="false" customHeight="true" outlineLevel="0" collapsed="false">
      <c r="A111" s="36"/>
      <c r="B111" s="5"/>
      <c r="C111" s="5"/>
      <c r="D111" s="5"/>
      <c r="E111" s="5"/>
      <c r="F111" s="5"/>
      <c r="G111" s="5"/>
      <c r="H111" s="5"/>
    </row>
    <row r="112" customFormat="false" ht="14.25" hidden="false" customHeight="true" outlineLevel="0" collapsed="false">
      <c r="A112" s="36"/>
      <c r="B112" s="5"/>
      <c r="C112" s="5"/>
      <c r="D112" s="5"/>
      <c r="E112" s="5"/>
      <c r="F112" s="5"/>
      <c r="G112" s="5"/>
      <c r="H112" s="5"/>
    </row>
    <row r="113" customFormat="false" ht="14.25" hidden="false" customHeight="true" outlineLevel="0" collapsed="false">
      <c r="A113" s="36"/>
      <c r="B113" s="5"/>
      <c r="C113" s="5"/>
      <c r="D113" s="5"/>
      <c r="E113" s="5"/>
      <c r="F113" s="5"/>
      <c r="G113" s="5"/>
      <c r="H113" s="5"/>
    </row>
    <row r="114" customFormat="false" ht="14.25" hidden="false" customHeight="true" outlineLevel="0" collapsed="false">
      <c r="A114" s="36"/>
      <c r="B114" s="5"/>
      <c r="C114" s="5"/>
      <c r="D114" s="5"/>
      <c r="E114" s="5"/>
      <c r="F114" s="5"/>
      <c r="G114" s="5"/>
      <c r="H114" s="5"/>
    </row>
    <row r="115" customFormat="false" ht="14.25" hidden="false" customHeight="true" outlineLevel="0" collapsed="false">
      <c r="A115" s="36"/>
      <c r="B115" s="5"/>
      <c r="C115" s="5"/>
      <c r="D115" s="5"/>
      <c r="E115" s="5"/>
      <c r="F115" s="5"/>
      <c r="G115" s="5"/>
      <c r="H115" s="5"/>
    </row>
    <row r="116" customFormat="false" ht="14.25" hidden="false" customHeight="true" outlineLevel="0" collapsed="false">
      <c r="A116" s="36"/>
      <c r="B116" s="5"/>
      <c r="C116" s="5"/>
      <c r="D116" s="5"/>
      <c r="E116" s="5"/>
      <c r="F116" s="5"/>
      <c r="G116" s="5"/>
      <c r="H116" s="5"/>
    </row>
    <row r="117" customFormat="false" ht="14.25" hidden="false" customHeight="true" outlineLevel="0" collapsed="false">
      <c r="A117" s="36"/>
      <c r="B117" s="5"/>
      <c r="C117" s="5"/>
      <c r="D117" s="5"/>
      <c r="E117" s="5"/>
      <c r="F117" s="5"/>
      <c r="G117" s="5"/>
      <c r="H117" s="5"/>
    </row>
    <row r="118" customFormat="false" ht="14.25" hidden="false" customHeight="true" outlineLevel="0" collapsed="false">
      <c r="A118" s="36"/>
      <c r="B118" s="5"/>
      <c r="C118" s="5"/>
      <c r="D118" s="5"/>
      <c r="E118" s="5"/>
      <c r="F118" s="5"/>
      <c r="G118" s="5"/>
      <c r="H118" s="5"/>
    </row>
    <row r="119" customFormat="false" ht="14.25" hidden="false" customHeight="true" outlineLevel="0" collapsed="false">
      <c r="A119" s="36"/>
      <c r="B119" s="5"/>
      <c r="C119" s="5"/>
      <c r="D119" s="5"/>
      <c r="E119" s="5"/>
      <c r="F119" s="5"/>
      <c r="G119" s="5"/>
      <c r="H119" s="5"/>
    </row>
    <row r="120" customFormat="false" ht="14.25" hidden="false" customHeight="true" outlineLevel="0" collapsed="false">
      <c r="A120" s="36"/>
      <c r="B120" s="5"/>
      <c r="C120" s="5"/>
      <c r="D120" s="5"/>
      <c r="E120" s="5"/>
      <c r="F120" s="5"/>
      <c r="G120" s="5"/>
      <c r="H120" s="5"/>
    </row>
    <row r="121" customFormat="false" ht="14.25" hidden="false" customHeight="true" outlineLevel="0" collapsed="false">
      <c r="A121" s="36"/>
      <c r="B121" s="5"/>
      <c r="C121" s="5"/>
      <c r="D121" s="5"/>
      <c r="E121" s="5"/>
      <c r="F121" s="5"/>
      <c r="G121" s="5"/>
      <c r="H121" s="5"/>
    </row>
    <row r="122" customFormat="false" ht="14.25" hidden="false" customHeight="true" outlineLevel="0" collapsed="false">
      <c r="A122" s="36"/>
      <c r="B122" s="5"/>
      <c r="C122" s="5"/>
      <c r="D122" s="5"/>
      <c r="E122" s="5"/>
      <c r="F122" s="5"/>
      <c r="G122" s="5"/>
      <c r="H122" s="5"/>
    </row>
    <row r="123" customFormat="false" ht="14.25" hidden="false" customHeight="true" outlineLevel="0" collapsed="false">
      <c r="A123" s="36"/>
      <c r="B123" s="5"/>
      <c r="C123" s="5"/>
      <c r="D123" s="5"/>
      <c r="E123" s="5"/>
      <c r="F123" s="5"/>
      <c r="G123" s="5"/>
      <c r="H123" s="5"/>
    </row>
    <row r="124" customFormat="false" ht="14.25" hidden="false" customHeight="true" outlineLevel="0" collapsed="false">
      <c r="A124" s="36"/>
      <c r="B124" s="5"/>
      <c r="C124" s="5"/>
      <c r="D124" s="5"/>
      <c r="E124" s="5"/>
      <c r="F124" s="5"/>
      <c r="G124" s="5"/>
      <c r="H124" s="5"/>
    </row>
    <row r="125" customFormat="false" ht="14.25" hidden="false" customHeight="true" outlineLevel="0" collapsed="false">
      <c r="A125" s="36"/>
      <c r="B125" s="5"/>
      <c r="C125" s="5"/>
      <c r="D125" s="5"/>
      <c r="E125" s="5"/>
      <c r="F125" s="5"/>
      <c r="G125" s="5"/>
      <c r="H125" s="5"/>
    </row>
    <row r="126" customFormat="false" ht="14.25" hidden="false" customHeight="true" outlineLevel="0" collapsed="false">
      <c r="A126" s="36"/>
      <c r="B126" s="5"/>
      <c r="C126" s="5"/>
      <c r="D126" s="5"/>
      <c r="E126" s="5"/>
      <c r="F126" s="5"/>
      <c r="G126" s="5"/>
      <c r="H126" s="5"/>
    </row>
    <row r="127" customFormat="false" ht="14.25" hidden="false" customHeight="true" outlineLevel="0" collapsed="false">
      <c r="A127" s="36"/>
      <c r="B127" s="5"/>
      <c r="C127" s="5"/>
      <c r="D127" s="5"/>
      <c r="E127" s="5"/>
      <c r="F127" s="5"/>
      <c r="G127" s="5"/>
      <c r="H127" s="5"/>
    </row>
    <row r="128" customFormat="false" ht="14.25" hidden="false" customHeight="true" outlineLevel="0" collapsed="false">
      <c r="A128" s="36"/>
      <c r="B128" s="5"/>
      <c r="C128" s="5"/>
      <c r="D128" s="5"/>
      <c r="E128" s="5"/>
      <c r="F128" s="5"/>
      <c r="G128" s="5"/>
      <c r="H128" s="5"/>
    </row>
    <row r="129" customFormat="false" ht="14.25" hidden="false" customHeight="true" outlineLevel="0" collapsed="false">
      <c r="A129" s="36"/>
      <c r="B129" s="5"/>
      <c r="C129" s="5"/>
      <c r="D129" s="5"/>
      <c r="E129" s="5"/>
      <c r="F129" s="5"/>
      <c r="G129" s="5"/>
      <c r="H129" s="5"/>
    </row>
    <row r="130" customFormat="false" ht="14.25" hidden="false" customHeight="true" outlineLevel="0" collapsed="false">
      <c r="A130" s="36"/>
      <c r="B130" s="5"/>
      <c r="C130" s="5"/>
      <c r="D130" s="5"/>
      <c r="E130" s="5"/>
      <c r="F130" s="5"/>
      <c r="G130" s="5"/>
      <c r="H130" s="5"/>
    </row>
    <row r="131" customFormat="false" ht="14.25" hidden="false" customHeight="true" outlineLevel="0" collapsed="false">
      <c r="A131" s="36"/>
      <c r="B131" s="5"/>
      <c r="C131" s="5"/>
      <c r="D131" s="5"/>
      <c r="E131" s="5"/>
      <c r="F131" s="5"/>
      <c r="G131" s="5"/>
      <c r="H131" s="5"/>
    </row>
    <row r="132" customFormat="false" ht="14.25" hidden="false" customHeight="true" outlineLevel="0" collapsed="false">
      <c r="A132" s="36"/>
      <c r="B132" s="5"/>
      <c r="C132" s="5"/>
      <c r="D132" s="5"/>
      <c r="E132" s="5"/>
      <c r="F132" s="5"/>
      <c r="G132" s="5"/>
      <c r="H132" s="5"/>
    </row>
    <row r="133" customFormat="false" ht="14.25" hidden="false" customHeight="true" outlineLevel="0" collapsed="false">
      <c r="A133" s="36"/>
      <c r="B133" s="5"/>
      <c r="C133" s="5"/>
      <c r="D133" s="5"/>
      <c r="E133" s="5"/>
      <c r="F133" s="5"/>
      <c r="G133" s="5"/>
      <c r="H133" s="5"/>
    </row>
    <row r="134" customFormat="false" ht="14.25" hidden="false" customHeight="true" outlineLevel="0" collapsed="false">
      <c r="A134" s="36"/>
      <c r="B134" s="5"/>
      <c r="C134" s="5"/>
      <c r="D134" s="5"/>
      <c r="E134" s="5"/>
      <c r="F134" s="5"/>
      <c r="G134" s="5"/>
      <c r="H134" s="5"/>
    </row>
    <row r="135" customFormat="false" ht="14.25" hidden="false" customHeight="true" outlineLevel="0" collapsed="false">
      <c r="A135" s="36"/>
      <c r="B135" s="5"/>
      <c r="C135" s="5"/>
      <c r="D135" s="5"/>
      <c r="E135" s="5"/>
      <c r="F135" s="5"/>
      <c r="G135" s="5"/>
      <c r="H135" s="5"/>
    </row>
    <row r="136" customFormat="false" ht="14.25" hidden="false" customHeight="true" outlineLevel="0" collapsed="false">
      <c r="A136" s="36"/>
      <c r="B136" s="5"/>
      <c r="C136" s="5"/>
      <c r="D136" s="5"/>
      <c r="E136" s="5"/>
      <c r="F136" s="5"/>
      <c r="G136" s="5"/>
      <c r="H136" s="5"/>
    </row>
    <row r="137" customFormat="false" ht="14.25" hidden="false" customHeight="true" outlineLevel="0" collapsed="false">
      <c r="A137" s="36"/>
      <c r="B137" s="5"/>
      <c r="C137" s="5"/>
      <c r="D137" s="5"/>
      <c r="E137" s="5"/>
      <c r="F137" s="5"/>
      <c r="G137" s="5"/>
      <c r="H137" s="5"/>
    </row>
    <row r="138" customFormat="false" ht="14.25" hidden="false" customHeight="true" outlineLevel="0" collapsed="false">
      <c r="A138" s="36"/>
      <c r="B138" s="5"/>
      <c r="C138" s="5"/>
      <c r="D138" s="5"/>
      <c r="E138" s="5"/>
      <c r="F138" s="5"/>
      <c r="G138" s="5"/>
      <c r="H138" s="5"/>
    </row>
    <row r="139" customFormat="false" ht="14.25" hidden="false" customHeight="true" outlineLevel="0" collapsed="false">
      <c r="A139" s="36"/>
      <c r="B139" s="5"/>
      <c r="C139" s="5"/>
      <c r="D139" s="5"/>
      <c r="E139" s="5"/>
      <c r="F139" s="5"/>
      <c r="G139" s="5"/>
      <c r="H139" s="5"/>
    </row>
    <row r="140" customFormat="false" ht="14.25" hidden="false" customHeight="true" outlineLevel="0" collapsed="false">
      <c r="A140" s="36"/>
      <c r="B140" s="5"/>
      <c r="C140" s="5"/>
      <c r="D140" s="5"/>
      <c r="E140" s="5"/>
      <c r="F140" s="5"/>
      <c r="G140" s="5"/>
      <c r="H140" s="5"/>
    </row>
    <row r="141" customFormat="false" ht="14.25" hidden="false" customHeight="true" outlineLevel="0" collapsed="false">
      <c r="A141" s="36"/>
      <c r="B141" s="5"/>
      <c r="C141" s="5"/>
      <c r="D141" s="5"/>
      <c r="E141" s="5"/>
      <c r="F141" s="5"/>
      <c r="G141" s="5"/>
      <c r="H141" s="5"/>
    </row>
    <row r="142" customFormat="false" ht="14.25" hidden="false" customHeight="true" outlineLevel="0" collapsed="false">
      <c r="A142" s="36"/>
      <c r="B142" s="5"/>
      <c r="C142" s="5"/>
      <c r="D142" s="5"/>
      <c r="E142" s="5"/>
      <c r="F142" s="5"/>
      <c r="G142" s="5"/>
      <c r="H142" s="5"/>
    </row>
    <row r="143" customFormat="false" ht="14.25" hidden="false" customHeight="true" outlineLevel="0" collapsed="false">
      <c r="A143" s="36"/>
      <c r="B143" s="5"/>
      <c r="C143" s="5"/>
      <c r="D143" s="5"/>
      <c r="E143" s="5"/>
      <c r="F143" s="5"/>
      <c r="G143" s="5"/>
      <c r="H143" s="5"/>
    </row>
    <row r="144" customFormat="false" ht="14.25" hidden="false" customHeight="true" outlineLevel="0" collapsed="false">
      <c r="A144" s="36"/>
      <c r="B144" s="5"/>
      <c r="C144" s="5"/>
      <c r="D144" s="5"/>
      <c r="E144" s="5"/>
      <c r="F144" s="5"/>
      <c r="G144" s="5"/>
      <c r="H144" s="5"/>
    </row>
    <row r="145" customFormat="false" ht="14.25" hidden="false" customHeight="true" outlineLevel="0" collapsed="false">
      <c r="A145" s="36"/>
      <c r="B145" s="5"/>
      <c r="C145" s="5"/>
      <c r="D145" s="5"/>
      <c r="E145" s="5"/>
      <c r="F145" s="5"/>
      <c r="G145" s="5"/>
      <c r="H145" s="5"/>
    </row>
    <row r="146" customFormat="false" ht="14.25" hidden="false" customHeight="true" outlineLevel="0" collapsed="false">
      <c r="A146" s="36"/>
      <c r="B146" s="5"/>
      <c r="C146" s="5"/>
      <c r="D146" s="5"/>
      <c r="E146" s="5"/>
      <c r="F146" s="5"/>
      <c r="G146" s="5"/>
      <c r="H146" s="5"/>
    </row>
    <row r="147" customFormat="false" ht="14.25" hidden="false" customHeight="true" outlineLevel="0" collapsed="false">
      <c r="A147" s="36"/>
      <c r="B147" s="5"/>
      <c r="C147" s="5"/>
      <c r="D147" s="5"/>
      <c r="E147" s="5"/>
      <c r="F147" s="5"/>
      <c r="G147" s="5"/>
      <c r="H147" s="5"/>
    </row>
    <row r="148" customFormat="false" ht="14.25" hidden="false" customHeight="true" outlineLevel="0" collapsed="false">
      <c r="A148" s="36"/>
      <c r="B148" s="5"/>
      <c r="C148" s="5"/>
      <c r="D148" s="5"/>
      <c r="E148" s="5"/>
      <c r="F148" s="5"/>
      <c r="G148" s="5"/>
      <c r="H148" s="5"/>
    </row>
    <row r="149" customFormat="false" ht="14.25" hidden="false" customHeight="true" outlineLevel="0" collapsed="false">
      <c r="A149" s="36"/>
      <c r="B149" s="5"/>
      <c r="C149" s="5"/>
      <c r="D149" s="5"/>
      <c r="E149" s="5"/>
      <c r="F149" s="5"/>
      <c r="G149" s="5"/>
      <c r="H149" s="5"/>
    </row>
    <row r="150" customFormat="false" ht="14.25" hidden="false" customHeight="true" outlineLevel="0" collapsed="false">
      <c r="A150" s="36"/>
      <c r="B150" s="5"/>
      <c r="C150" s="5"/>
      <c r="D150" s="5"/>
      <c r="E150" s="5"/>
      <c r="F150" s="5"/>
      <c r="G150" s="5"/>
      <c r="H150" s="5"/>
    </row>
    <row r="151" customFormat="false" ht="14.25" hidden="false" customHeight="true" outlineLevel="0" collapsed="false">
      <c r="A151" s="36"/>
      <c r="B151" s="5"/>
      <c r="C151" s="5"/>
      <c r="D151" s="5"/>
      <c r="E151" s="5"/>
      <c r="F151" s="5"/>
      <c r="G151" s="5"/>
      <c r="H151" s="5"/>
    </row>
    <row r="152" customFormat="false" ht="14.25" hidden="false" customHeight="true" outlineLevel="0" collapsed="false">
      <c r="A152" s="36"/>
      <c r="B152" s="5"/>
      <c r="C152" s="5"/>
      <c r="D152" s="5"/>
      <c r="E152" s="5"/>
      <c r="F152" s="5"/>
      <c r="G152" s="5"/>
      <c r="H152" s="5"/>
    </row>
    <row r="153" customFormat="false" ht="14.25" hidden="false" customHeight="true" outlineLevel="0" collapsed="false">
      <c r="A153" s="36"/>
      <c r="B153" s="5"/>
      <c r="C153" s="5"/>
      <c r="D153" s="5"/>
      <c r="E153" s="5"/>
      <c r="F153" s="5"/>
      <c r="G153" s="5"/>
      <c r="H153" s="5"/>
    </row>
    <row r="154" customFormat="false" ht="14.25" hidden="false" customHeight="true" outlineLevel="0" collapsed="false">
      <c r="A154" s="36"/>
      <c r="B154" s="5"/>
      <c r="C154" s="5"/>
      <c r="D154" s="5"/>
      <c r="E154" s="5"/>
      <c r="F154" s="5"/>
      <c r="G154" s="5"/>
      <c r="H154" s="5"/>
    </row>
    <row r="155" customFormat="false" ht="14.25" hidden="false" customHeight="true" outlineLevel="0" collapsed="false">
      <c r="A155" s="36"/>
      <c r="B155" s="5"/>
      <c r="C155" s="5"/>
      <c r="D155" s="5"/>
      <c r="E155" s="5"/>
      <c r="F155" s="5"/>
      <c r="G155" s="5"/>
      <c r="H155" s="5"/>
    </row>
    <row r="156" customFormat="false" ht="14.25" hidden="false" customHeight="true" outlineLevel="0" collapsed="false">
      <c r="A156" s="36"/>
      <c r="B156" s="5"/>
      <c r="C156" s="5"/>
      <c r="D156" s="5"/>
      <c r="E156" s="5"/>
      <c r="F156" s="5"/>
      <c r="G156" s="5"/>
      <c r="H156" s="5"/>
    </row>
    <row r="157" customFormat="false" ht="14.25" hidden="false" customHeight="true" outlineLevel="0" collapsed="false">
      <c r="A157" s="36"/>
      <c r="B157" s="5"/>
      <c r="C157" s="5"/>
      <c r="D157" s="5"/>
      <c r="E157" s="5"/>
      <c r="F157" s="5"/>
      <c r="G157" s="5"/>
      <c r="H157" s="5"/>
    </row>
    <row r="158" customFormat="false" ht="14.25" hidden="false" customHeight="true" outlineLevel="0" collapsed="false">
      <c r="A158" s="36"/>
      <c r="B158" s="5"/>
      <c r="C158" s="5"/>
      <c r="D158" s="5"/>
      <c r="E158" s="5"/>
      <c r="F158" s="5"/>
      <c r="G158" s="5"/>
      <c r="H158" s="5"/>
    </row>
    <row r="159" customFormat="false" ht="14.25" hidden="false" customHeight="true" outlineLevel="0" collapsed="false">
      <c r="A159" s="36"/>
      <c r="B159" s="5"/>
      <c r="C159" s="5"/>
      <c r="D159" s="5"/>
      <c r="E159" s="5"/>
      <c r="F159" s="5"/>
      <c r="G159" s="5"/>
      <c r="H159" s="5"/>
    </row>
    <row r="160" customFormat="false" ht="14.25" hidden="false" customHeight="true" outlineLevel="0" collapsed="false">
      <c r="A160" s="36"/>
      <c r="B160" s="5"/>
      <c r="C160" s="5"/>
      <c r="D160" s="5"/>
      <c r="E160" s="5"/>
      <c r="F160" s="5"/>
      <c r="G160" s="5"/>
      <c r="H160" s="5"/>
    </row>
    <row r="161" customFormat="false" ht="14.25" hidden="false" customHeight="true" outlineLevel="0" collapsed="false">
      <c r="A161" s="36"/>
      <c r="B161" s="5"/>
      <c r="C161" s="5"/>
      <c r="D161" s="5"/>
      <c r="E161" s="5"/>
      <c r="F161" s="5"/>
      <c r="G161" s="5"/>
      <c r="H161" s="5"/>
    </row>
    <row r="162" customFormat="false" ht="14.25" hidden="false" customHeight="true" outlineLevel="0" collapsed="false">
      <c r="A162" s="36"/>
      <c r="B162" s="5"/>
      <c r="C162" s="5"/>
      <c r="D162" s="5"/>
      <c r="E162" s="5"/>
      <c r="F162" s="5"/>
      <c r="G162" s="5"/>
      <c r="H162" s="5"/>
    </row>
    <row r="163" customFormat="false" ht="14.25" hidden="false" customHeight="true" outlineLevel="0" collapsed="false">
      <c r="A163" s="36"/>
      <c r="B163" s="5"/>
      <c r="C163" s="5"/>
      <c r="D163" s="5"/>
      <c r="E163" s="5"/>
      <c r="F163" s="5"/>
      <c r="G163" s="5"/>
      <c r="H163" s="5"/>
    </row>
    <row r="164" customFormat="false" ht="14.25" hidden="false" customHeight="true" outlineLevel="0" collapsed="false">
      <c r="A164" s="36"/>
      <c r="B164" s="5"/>
      <c r="C164" s="5"/>
      <c r="D164" s="5"/>
      <c r="E164" s="5"/>
      <c r="F164" s="5"/>
      <c r="G164" s="5"/>
      <c r="H164" s="5"/>
    </row>
    <row r="165" customFormat="false" ht="14.25" hidden="false" customHeight="true" outlineLevel="0" collapsed="false">
      <c r="A165" s="36"/>
      <c r="B165" s="5"/>
      <c r="C165" s="5"/>
      <c r="D165" s="5"/>
      <c r="E165" s="5"/>
      <c r="F165" s="5"/>
      <c r="G165" s="5"/>
      <c r="H165" s="5"/>
    </row>
    <row r="166" customFormat="false" ht="14.25" hidden="false" customHeight="true" outlineLevel="0" collapsed="false">
      <c r="A166" s="36"/>
      <c r="B166" s="5"/>
      <c r="C166" s="5"/>
      <c r="D166" s="5"/>
      <c r="E166" s="5"/>
      <c r="F166" s="5"/>
      <c r="G166" s="5"/>
      <c r="H166" s="5"/>
    </row>
    <row r="167" customFormat="false" ht="14.25" hidden="false" customHeight="true" outlineLevel="0" collapsed="false">
      <c r="A167" s="36"/>
      <c r="B167" s="5"/>
      <c r="C167" s="5"/>
      <c r="D167" s="5"/>
      <c r="E167" s="5"/>
      <c r="F167" s="5"/>
      <c r="G167" s="5"/>
      <c r="H167" s="5"/>
    </row>
    <row r="168" customFormat="false" ht="14.25" hidden="false" customHeight="true" outlineLevel="0" collapsed="false">
      <c r="A168" s="36"/>
      <c r="B168" s="5"/>
      <c r="C168" s="5"/>
      <c r="D168" s="5"/>
      <c r="E168" s="5"/>
      <c r="F168" s="5"/>
      <c r="G168" s="5"/>
      <c r="H168" s="5"/>
    </row>
    <row r="169" customFormat="false" ht="14.25" hidden="false" customHeight="true" outlineLevel="0" collapsed="false">
      <c r="A169" s="36"/>
      <c r="B169" s="5"/>
      <c r="C169" s="5"/>
      <c r="D169" s="5"/>
      <c r="E169" s="5"/>
      <c r="F169" s="5"/>
      <c r="G169" s="5"/>
      <c r="H169" s="5"/>
    </row>
    <row r="170" customFormat="false" ht="14.25" hidden="false" customHeight="true" outlineLevel="0" collapsed="false">
      <c r="A170" s="36"/>
      <c r="B170" s="5"/>
      <c r="C170" s="5"/>
      <c r="D170" s="5"/>
      <c r="E170" s="5"/>
      <c r="F170" s="5"/>
      <c r="G170" s="5"/>
      <c r="H170" s="5"/>
    </row>
    <row r="171" customFormat="false" ht="14.25" hidden="false" customHeight="true" outlineLevel="0" collapsed="false">
      <c r="A171" s="36"/>
      <c r="B171" s="5"/>
      <c r="C171" s="5"/>
      <c r="D171" s="5"/>
      <c r="E171" s="5"/>
      <c r="F171" s="5"/>
      <c r="G171" s="5"/>
      <c r="H171" s="5"/>
    </row>
    <row r="172" customFormat="false" ht="14.25" hidden="false" customHeight="true" outlineLevel="0" collapsed="false">
      <c r="A172" s="36"/>
      <c r="B172" s="5"/>
      <c r="C172" s="5"/>
      <c r="D172" s="5"/>
      <c r="E172" s="5"/>
      <c r="F172" s="5"/>
      <c r="G172" s="5"/>
      <c r="H172" s="5"/>
    </row>
    <row r="173" customFormat="false" ht="14.25" hidden="false" customHeight="true" outlineLevel="0" collapsed="false">
      <c r="A173" s="36"/>
      <c r="B173" s="5"/>
      <c r="C173" s="5"/>
      <c r="D173" s="5"/>
      <c r="E173" s="5"/>
      <c r="F173" s="5"/>
      <c r="G173" s="5"/>
      <c r="H173" s="5"/>
    </row>
    <row r="174" customFormat="false" ht="14.25" hidden="false" customHeight="true" outlineLevel="0" collapsed="false">
      <c r="A174" s="36"/>
      <c r="B174" s="5"/>
      <c r="C174" s="5"/>
      <c r="D174" s="5"/>
      <c r="E174" s="5"/>
      <c r="F174" s="5"/>
      <c r="G174" s="5"/>
      <c r="H174" s="5"/>
    </row>
    <row r="175" customFormat="false" ht="14.25" hidden="false" customHeight="true" outlineLevel="0" collapsed="false">
      <c r="A175" s="36"/>
      <c r="B175" s="5"/>
      <c r="C175" s="5"/>
      <c r="D175" s="5"/>
      <c r="E175" s="5"/>
      <c r="F175" s="5"/>
      <c r="G175" s="5"/>
      <c r="H175" s="5"/>
    </row>
    <row r="176" customFormat="false" ht="14.25" hidden="false" customHeight="true" outlineLevel="0" collapsed="false">
      <c r="A176" s="36"/>
      <c r="B176" s="5"/>
      <c r="C176" s="5"/>
      <c r="D176" s="5"/>
      <c r="E176" s="5"/>
      <c r="F176" s="5"/>
      <c r="G176" s="5"/>
      <c r="H176" s="5"/>
    </row>
    <row r="177" customFormat="false" ht="14.25" hidden="false" customHeight="true" outlineLevel="0" collapsed="false">
      <c r="A177" s="36"/>
      <c r="B177" s="5"/>
      <c r="C177" s="5"/>
      <c r="D177" s="5"/>
      <c r="E177" s="5"/>
      <c r="F177" s="5"/>
      <c r="G177" s="5"/>
      <c r="H177" s="5"/>
    </row>
    <row r="178" customFormat="false" ht="14.25" hidden="false" customHeight="true" outlineLevel="0" collapsed="false">
      <c r="A178" s="36"/>
      <c r="B178" s="5"/>
      <c r="C178" s="5"/>
      <c r="D178" s="5"/>
      <c r="E178" s="5"/>
      <c r="F178" s="5"/>
      <c r="G178" s="5"/>
      <c r="H178" s="5"/>
    </row>
    <row r="179" customFormat="false" ht="14.25" hidden="false" customHeight="true" outlineLevel="0" collapsed="false">
      <c r="A179" s="36"/>
      <c r="B179" s="5"/>
      <c r="C179" s="5"/>
      <c r="D179" s="5"/>
      <c r="E179" s="5"/>
      <c r="F179" s="5"/>
      <c r="G179" s="5"/>
      <c r="H179" s="5"/>
    </row>
    <row r="180" customFormat="false" ht="14.25" hidden="false" customHeight="true" outlineLevel="0" collapsed="false">
      <c r="A180" s="36"/>
      <c r="B180" s="5"/>
      <c r="C180" s="5"/>
      <c r="D180" s="5"/>
      <c r="E180" s="5"/>
      <c r="F180" s="5"/>
      <c r="G180" s="5"/>
      <c r="H180" s="5"/>
    </row>
    <row r="181" customFormat="false" ht="14.25" hidden="false" customHeight="true" outlineLevel="0" collapsed="false">
      <c r="A181" s="36"/>
      <c r="B181" s="5"/>
      <c r="C181" s="5"/>
      <c r="D181" s="5"/>
      <c r="E181" s="5"/>
      <c r="F181" s="5"/>
      <c r="G181" s="5"/>
      <c r="H181" s="5"/>
    </row>
    <row r="182" customFormat="false" ht="14.25" hidden="false" customHeight="true" outlineLevel="0" collapsed="false">
      <c r="A182" s="36"/>
      <c r="B182" s="5"/>
      <c r="C182" s="5"/>
      <c r="D182" s="5"/>
      <c r="E182" s="5"/>
      <c r="F182" s="5"/>
      <c r="G182" s="5"/>
      <c r="H182" s="5"/>
    </row>
    <row r="183" customFormat="false" ht="14.25" hidden="false" customHeight="true" outlineLevel="0" collapsed="false">
      <c r="A183" s="36"/>
      <c r="B183" s="5"/>
      <c r="C183" s="5"/>
      <c r="D183" s="5"/>
      <c r="E183" s="5"/>
      <c r="F183" s="5"/>
      <c r="G183" s="5"/>
      <c r="H183" s="5"/>
    </row>
    <row r="184" customFormat="false" ht="14.25" hidden="false" customHeight="true" outlineLevel="0" collapsed="false">
      <c r="A184" s="36"/>
      <c r="B184" s="5"/>
      <c r="C184" s="5"/>
      <c r="D184" s="5"/>
      <c r="E184" s="5"/>
      <c r="F184" s="5"/>
      <c r="G184" s="5"/>
      <c r="H184" s="5"/>
    </row>
    <row r="185" customFormat="false" ht="14.25" hidden="false" customHeight="true" outlineLevel="0" collapsed="false">
      <c r="A185" s="36"/>
      <c r="B185" s="5"/>
      <c r="C185" s="5"/>
      <c r="D185" s="5"/>
      <c r="E185" s="5"/>
      <c r="F185" s="5"/>
      <c r="G185" s="5"/>
      <c r="H185" s="5"/>
    </row>
    <row r="186" customFormat="false" ht="14.25" hidden="false" customHeight="true" outlineLevel="0" collapsed="false">
      <c r="A186" s="36"/>
      <c r="B186" s="5"/>
      <c r="C186" s="5"/>
      <c r="D186" s="5"/>
      <c r="E186" s="5"/>
      <c r="F186" s="5"/>
      <c r="G186" s="5"/>
      <c r="H186" s="5"/>
    </row>
    <row r="187" customFormat="false" ht="14.25" hidden="false" customHeight="true" outlineLevel="0" collapsed="false">
      <c r="A187" s="36"/>
      <c r="B187" s="5"/>
      <c r="C187" s="5"/>
      <c r="D187" s="5"/>
      <c r="E187" s="5"/>
      <c r="F187" s="5"/>
      <c r="G187" s="5"/>
      <c r="H187" s="5"/>
    </row>
    <row r="188" customFormat="false" ht="14.25" hidden="false" customHeight="true" outlineLevel="0" collapsed="false">
      <c r="A188" s="36"/>
      <c r="B188" s="5"/>
      <c r="C188" s="5"/>
      <c r="D188" s="5"/>
      <c r="E188" s="5"/>
      <c r="F188" s="5"/>
      <c r="G188" s="5"/>
      <c r="H188" s="5"/>
    </row>
    <row r="189" customFormat="false" ht="14.25" hidden="false" customHeight="true" outlineLevel="0" collapsed="false">
      <c r="A189" s="36"/>
      <c r="B189" s="5"/>
      <c r="C189" s="5"/>
      <c r="D189" s="5"/>
      <c r="E189" s="5"/>
      <c r="F189" s="5"/>
      <c r="G189" s="5"/>
      <c r="H189" s="5"/>
    </row>
    <row r="190" customFormat="false" ht="14.25" hidden="false" customHeight="true" outlineLevel="0" collapsed="false">
      <c r="A190" s="36"/>
      <c r="B190" s="5"/>
      <c r="C190" s="5"/>
      <c r="D190" s="5"/>
      <c r="E190" s="5"/>
      <c r="F190" s="5"/>
      <c r="G190" s="5"/>
      <c r="H190" s="5"/>
    </row>
    <row r="191" customFormat="false" ht="14.25" hidden="false" customHeight="true" outlineLevel="0" collapsed="false">
      <c r="A191" s="36"/>
      <c r="B191" s="5"/>
      <c r="C191" s="5"/>
      <c r="D191" s="5"/>
      <c r="E191" s="5"/>
      <c r="F191" s="5"/>
      <c r="G191" s="5"/>
      <c r="H191" s="5"/>
    </row>
    <row r="192" customFormat="false" ht="14.25" hidden="false" customHeight="true" outlineLevel="0" collapsed="false">
      <c r="A192" s="36"/>
      <c r="B192" s="5"/>
      <c r="C192" s="5"/>
      <c r="D192" s="5"/>
      <c r="E192" s="5"/>
      <c r="F192" s="5"/>
      <c r="G192" s="5"/>
      <c r="H192" s="5"/>
    </row>
    <row r="193" customFormat="false" ht="14.25" hidden="false" customHeight="true" outlineLevel="0" collapsed="false">
      <c r="A193" s="36"/>
      <c r="B193" s="5"/>
      <c r="C193" s="5"/>
      <c r="D193" s="5"/>
      <c r="E193" s="5"/>
      <c r="F193" s="5"/>
      <c r="G193" s="5"/>
      <c r="H193" s="5"/>
    </row>
    <row r="194" customFormat="false" ht="14.25" hidden="false" customHeight="true" outlineLevel="0" collapsed="false">
      <c r="A194" s="36"/>
      <c r="B194" s="5"/>
      <c r="C194" s="5"/>
      <c r="D194" s="5"/>
      <c r="E194" s="5"/>
      <c r="F194" s="5"/>
      <c r="G194" s="5"/>
      <c r="H194" s="5"/>
    </row>
    <row r="195" customFormat="false" ht="14.25" hidden="false" customHeight="true" outlineLevel="0" collapsed="false">
      <c r="A195" s="36"/>
      <c r="B195" s="5"/>
      <c r="C195" s="5"/>
      <c r="D195" s="5"/>
      <c r="E195" s="5"/>
      <c r="F195" s="5"/>
      <c r="G195" s="5"/>
      <c r="H195" s="5"/>
    </row>
    <row r="196" customFormat="false" ht="14.25" hidden="false" customHeight="true" outlineLevel="0" collapsed="false">
      <c r="A196" s="36"/>
      <c r="B196" s="5"/>
      <c r="C196" s="5"/>
      <c r="D196" s="5"/>
      <c r="E196" s="5"/>
      <c r="F196" s="5"/>
      <c r="G196" s="5"/>
      <c r="H196" s="5"/>
    </row>
    <row r="197" customFormat="false" ht="14.25" hidden="false" customHeight="true" outlineLevel="0" collapsed="false">
      <c r="A197" s="36"/>
      <c r="B197" s="5"/>
      <c r="C197" s="5"/>
      <c r="D197" s="5"/>
      <c r="E197" s="5"/>
      <c r="F197" s="5"/>
      <c r="G197" s="5"/>
      <c r="H197" s="5"/>
    </row>
    <row r="198" customFormat="false" ht="14.25" hidden="false" customHeight="true" outlineLevel="0" collapsed="false">
      <c r="A198" s="36"/>
      <c r="B198" s="5"/>
      <c r="C198" s="5"/>
      <c r="D198" s="5"/>
      <c r="E198" s="5"/>
      <c r="F198" s="5"/>
      <c r="G198" s="5"/>
      <c r="H198" s="5"/>
    </row>
    <row r="199" customFormat="false" ht="14.25" hidden="false" customHeight="true" outlineLevel="0" collapsed="false">
      <c r="A199" s="36"/>
      <c r="B199" s="5"/>
      <c r="C199" s="5"/>
      <c r="D199" s="5"/>
      <c r="E199" s="5"/>
      <c r="F199" s="5"/>
      <c r="G199" s="5"/>
      <c r="H199" s="5"/>
    </row>
    <row r="200" customFormat="false" ht="14.25" hidden="false" customHeight="true" outlineLevel="0" collapsed="false">
      <c r="A200" s="36"/>
      <c r="B200" s="5"/>
      <c r="C200" s="5"/>
      <c r="D200" s="5"/>
      <c r="E200" s="5"/>
      <c r="F200" s="5"/>
      <c r="G200" s="5"/>
      <c r="H200" s="5"/>
    </row>
  </sheetData>
  <dataValidations count="3">
    <dataValidation allowBlank="true" errorStyle="stop" operator="equal" showDropDown="false" showErrorMessage="false" showInputMessage="false" sqref="A5:A200" type="list">
      <formula1>"A,B,C,D,E"</formula1>
      <formula2>0</formula2>
    </dataValidation>
    <dataValidation allowBlank="true" errorStyle="stop" operator="equal" showDropDown="false" showErrorMessage="false" showInputMessage="false" sqref="B5:B200" type="list">
      <formula1>"U1,U2,U3,U4,U5,U6,U7"</formula1>
      <formula2>0</formula2>
    </dataValidation>
    <dataValidation allowBlank="true" errorStyle="stop" operator="equal" showDropDown="false" showErrorMessage="false" showInputMessage="false" sqref="C5:C200" type="list">
      <formula1>"D1,D2,D3,D4,D5,D6,D7"</formula1>
      <formula2>0</formula2>
    </dataValidation>
  </dataValidation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2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2" width="36"/>
    <col collapsed="false" customWidth="true" hidden="false" outlineLevel="0" max="2" min="2" style="2" width="22"/>
    <col collapsed="false" customWidth="true" hidden="false" outlineLevel="0" max="3" min="3" style="2" width="11"/>
    <col collapsed="false" customWidth="true" hidden="false" outlineLevel="0" max="4" min="4" style="2" width="27"/>
    <col collapsed="false" customWidth="true" hidden="false" outlineLevel="0" max="5" min="5" style="2" width="14"/>
    <col collapsed="false" customWidth="true" hidden="false" outlineLevel="0" max="8" min="6" style="2" width="10"/>
  </cols>
  <sheetData>
    <row r="1" customFormat="false" ht="14.25" hidden="false" customHeight="true" outlineLevel="0" collapsed="false">
      <c r="A1" s="39" t="s">
        <v>2410</v>
      </c>
      <c r="B1" s="39"/>
      <c r="C1" s="39"/>
      <c r="D1" s="39"/>
      <c r="E1" s="39"/>
      <c r="F1" s="39"/>
      <c r="G1" s="39"/>
      <c r="H1" s="39"/>
    </row>
    <row r="2" customFormat="false" ht="13.5" hidden="false" customHeight="true" outlineLevel="0" collapsed="false">
      <c r="A2" s="5"/>
      <c r="B2" s="5"/>
      <c r="C2" s="5"/>
      <c r="D2" s="5"/>
      <c r="E2" s="5"/>
      <c r="F2" s="5"/>
      <c r="G2" s="5"/>
      <c r="H2" s="5"/>
    </row>
    <row r="3" customFormat="false" ht="14.25" hidden="false" customHeight="true" outlineLevel="0" collapsed="false">
      <c r="A3" s="36" t="s">
        <v>2411</v>
      </c>
      <c r="B3" s="5"/>
      <c r="C3" s="5"/>
      <c r="D3" s="5"/>
      <c r="E3" s="5"/>
      <c r="F3" s="5"/>
      <c r="G3" s="5"/>
      <c r="H3" s="5"/>
    </row>
    <row r="4" customFormat="false" ht="14.25" hidden="false" customHeight="true" outlineLevel="0" collapsed="false">
      <c r="A4" s="36" t="s">
        <v>2412</v>
      </c>
      <c r="B4" s="5"/>
      <c r="C4" s="5"/>
      <c r="D4" s="5"/>
      <c r="E4" s="5"/>
      <c r="F4" s="5"/>
      <c r="G4" s="5"/>
      <c r="H4" s="5"/>
    </row>
    <row r="5" customFormat="false" ht="13.5" hidden="false" customHeight="true" outlineLevel="0" collapsed="false">
      <c r="A5" s="5"/>
      <c r="B5" s="5"/>
      <c r="C5" s="5"/>
      <c r="D5" s="5"/>
      <c r="E5" s="5"/>
      <c r="F5" s="5"/>
      <c r="G5" s="5"/>
      <c r="H5" s="5"/>
    </row>
    <row r="6" customFormat="false" ht="14.25" hidden="false" customHeight="true" outlineLevel="0" collapsed="false">
      <c r="A6" s="37" t="s">
        <v>2413</v>
      </c>
      <c r="B6" s="5"/>
      <c r="C6" s="5"/>
      <c r="D6" s="5"/>
      <c r="E6" s="5"/>
      <c r="F6" s="5"/>
      <c r="G6" s="5"/>
      <c r="H6" s="5"/>
    </row>
    <row r="7" customFormat="false" ht="14.25" hidden="false" customHeight="true" outlineLevel="0" collapsed="false">
      <c r="A7" s="36" t="s">
        <v>2414</v>
      </c>
      <c r="B7" s="5"/>
      <c r="C7" s="5"/>
      <c r="D7" s="5"/>
      <c r="E7" s="5"/>
      <c r="F7" s="5"/>
      <c r="G7" s="5"/>
      <c r="H7" s="5"/>
    </row>
    <row r="8" customFormat="false" ht="14.25" hidden="false" customHeight="true" outlineLevel="0" collapsed="false">
      <c r="A8" s="36" t="s">
        <v>2415</v>
      </c>
      <c r="B8" s="5"/>
      <c r="C8" s="5"/>
      <c r="D8" s="5"/>
      <c r="E8" s="5"/>
      <c r="F8" s="5"/>
      <c r="G8" s="5"/>
      <c r="H8" s="5"/>
    </row>
    <row r="9" customFormat="false" ht="14.25" hidden="false" customHeight="true" outlineLevel="0" collapsed="false">
      <c r="A9" s="36" t="s">
        <v>2416</v>
      </c>
      <c r="B9" s="5"/>
      <c r="C9" s="5"/>
      <c r="D9" s="5"/>
      <c r="E9" s="5"/>
      <c r="F9" s="5"/>
      <c r="G9" s="5"/>
      <c r="H9" s="5"/>
    </row>
    <row r="10" customFormat="false" ht="13.5" hidden="false" customHeight="true" outlineLevel="0" collapsed="false">
      <c r="A10" s="5"/>
      <c r="B10" s="5"/>
      <c r="C10" s="5"/>
      <c r="D10" s="5"/>
      <c r="E10" s="5"/>
      <c r="F10" s="5"/>
      <c r="G10" s="5"/>
      <c r="H10" s="5"/>
    </row>
    <row r="11" customFormat="false" ht="14.25" hidden="false" customHeight="true" outlineLevel="0" collapsed="false">
      <c r="A11" s="37" t="s">
        <v>2417</v>
      </c>
      <c r="B11" s="5"/>
      <c r="C11" s="5"/>
      <c r="D11" s="5"/>
      <c r="E11" s="5"/>
      <c r="F11" s="5"/>
      <c r="G11" s="5"/>
      <c r="H11" s="5"/>
    </row>
    <row r="12" customFormat="false" ht="14.25" hidden="false" customHeight="true" outlineLevel="0" collapsed="false">
      <c r="A12" s="37" t="s">
        <v>856</v>
      </c>
      <c r="B12" s="37" t="s">
        <v>2418</v>
      </c>
      <c r="C12" s="37" t="s">
        <v>2419</v>
      </c>
      <c r="D12" s="37" t="s">
        <v>2420</v>
      </c>
      <c r="E12" s="37" t="s">
        <v>2421</v>
      </c>
      <c r="F12" s="5"/>
      <c r="G12" s="5"/>
      <c r="H12" s="5"/>
    </row>
    <row r="13" customFormat="false" ht="14.25" hidden="false" customHeight="true" outlineLevel="0" collapsed="false">
      <c r="A13" s="36" t="s">
        <v>2422</v>
      </c>
      <c r="B13" s="36" t="s">
        <v>2423</v>
      </c>
      <c r="C13" s="36" t="s">
        <v>2424</v>
      </c>
      <c r="D13" s="36" t="n">
        <v>1</v>
      </c>
      <c r="E13" s="36" t="s">
        <v>2425</v>
      </c>
      <c r="F13" s="5"/>
      <c r="G13" s="5"/>
      <c r="H13" s="5"/>
    </row>
    <row r="14" customFormat="false" ht="14.25" hidden="false" customHeight="true" outlineLevel="0" collapsed="false">
      <c r="A14" s="36" t="s">
        <v>2426</v>
      </c>
      <c r="B14" s="36" t="s">
        <v>2427</v>
      </c>
      <c r="C14" s="36" t="s">
        <v>2424</v>
      </c>
      <c r="D14" s="36" t="n">
        <v>1</v>
      </c>
      <c r="E14" s="36" t="s">
        <v>2425</v>
      </c>
      <c r="F14" s="5"/>
      <c r="G14" s="5"/>
      <c r="H14" s="5"/>
    </row>
    <row r="15" customFormat="false" ht="14.25" hidden="false" customHeight="true" outlineLevel="0" collapsed="false">
      <c r="A15" s="36" t="s">
        <v>2428</v>
      </c>
      <c r="B15" s="36" t="s">
        <v>2429</v>
      </c>
      <c r="C15" s="36" t="s">
        <v>2424</v>
      </c>
      <c r="D15" s="36" t="n">
        <v>1</v>
      </c>
      <c r="E15" s="36" t="s">
        <v>2425</v>
      </c>
      <c r="F15" s="5"/>
      <c r="G15" s="5"/>
      <c r="H15" s="5"/>
    </row>
    <row r="16" customFormat="false" ht="14.25" hidden="false" customHeight="true" outlineLevel="0" collapsed="false">
      <c r="A16" s="36" t="s">
        <v>2430</v>
      </c>
      <c r="B16" s="36" t="s">
        <v>2431</v>
      </c>
      <c r="C16" s="36" t="s">
        <v>2424</v>
      </c>
      <c r="D16" s="36" t="n">
        <v>1</v>
      </c>
      <c r="E16" s="36" t="s">
        <v>2425</v>
      </c>
      <c r="F16" s="5"/>
      <c r="G16" s="5"/>
      <c r="H16" s="5"/>
    </row>
    <row r="17" customFormat="false" ht="14.25" hidden="false" customHeight="true" outlineLevel="0" collapsed="false">
      <c r="A17" s="36" t="s">
        <v>2432</v>
      </c>
      <c r="B17" s="36" t="s">
        <v>2433</v>
      </c>
      <c r="C17" s="36" t="s">
        <v>2424</v>
      </c>
      <c r="D17" s="36" t="n">
        <v>1</v>
      </c>
      <c r="E17" s="36" t="s">
        <v>2425</v>
      </c>
      <c r="F17" s="5"/>
      <c r="G17" s="5"/>
      <c r="H17" s="5"/>
    </row>
    <row r="18" customFormat="false" ht="14.25" hidden="false" customHeight="true" outlineLevel="0" collapsed="false">
      <c r="A18" s="36" t="s">
        <v>2434</v>
      </c>
      <c r="B18" s="36" t="s">
        <v>2435</v>
      </c>
      <c r="C18" s="36" t="s">
        <v>2424</v>
      </c>
      <c r="D18" s="36" t="n">
        <v>1</v>
      </c>
      <c r="E18" s="36" t="s">
        <v>2425</v>
      </c>
      <c r="F18" s="5"/>
      <c r="G18" s="5"/>
      <c r="H18" s="5"/>
    </row>
    <row r="19" customFormat="false" ht="13.5" hidden="false" customHeight="true" outlineLevel="0" collapsed="false">
      <c r="A19" s="5"/>
      <c r="B19" s="5"/>
      <c r="C19" s="5"/>
      <c r="D19" s="5"/>
      <c r="E19" s="5"/>
      <c r="F19" s="5"/>
      <c r="G19" s="5"/>
      <c r="H19" s="5"/>
    </row>
    <row r="20" customFormat="false" ht="13.5" hidden="false" customHeight="true" outlineLevel="0" collapsed="false">
      <c r="A20" s="5"/>
      <c r="B20" s="5"/>
      <c r="C20" s="5"/>
      <c r="D20" s="5"/>
      <c r="E20" s="5"/>
      <c r="F20" s="5"/>
      <c r="G20" s="5"/>
      <c r="H20" s="5"/>
    </row>
    <row r="21" customFormat="false" ht="14.25" hidden="false" customHeight="true" outlineLevel="0" collapsed="false">
      <c r="A21" s="37" t="s">
        <v>2436</v>
      </c>
      <c r="B21" s="5"/>
      <c r="C21" s="5"/>
      <c r="D21" s="5"/>
      <c r="E21" s="5"/>
      <c r="F21" s="5"/>
      <c r="G21" s="5"/>
      <c r="H21" s="5"/>
    </row>
    <row r="22" customFormat="false" ht="14.25" hidden="false" customHeight="true" outlineLevel="0" collapsed="false">
      <c r="A22" s="36" t="s">
        <v>2437</v>
      </c>
      <c r="B22" s="5"/>
      <c r="C22" s="5"/>
      <c r="D22" s="5"/>
      <c r="E22" s="5"/>
      <c r="F22" s="5"/>
      <c r="G22" s="5"/>
      <c r="H22" s="5"/>
    </row>
    <row r="23" customFormat="false" ht="14.25" hidden="false" customHeight="true" outlineLevel="0" collapsed="false">
      <c r="A23" s="36" t="s">
        <v>2438</v>
      </c>
      <c r="B23" s="5"/>
      <c r="C23" s="5"/>
      <c r="D23" s="5"/>
      <c r="E23" s="5"/>
      <c r="F23" s="5"/>
      <c r="G23" s="5"/>
      <c r="H23" s="5"/>
    </row>
  </sheetData>
  <mergeCells count="1">
    <mergeCell ref="A1:H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3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2" width="36"/>
    <col collapsed="false" customWidth="true" hidden="false" outlineLevel="0" max="2" min="2" style="2" width="26"/>
    <col collapsed="false" customWidth="true" hidden="false" outlineLevel="0" max="10" min="3" style="2" width="10"/>
  </cols>
  <sheetData>
    <row r="1" customFormat="false" ht="14.25" hidden="false" customHeight="true" outlineLevel="0" collapsed="false">
      <c r="A1" s="39" t="s">
        <v>2439</v>
      </c>
      <c r="B1" s="39"/>
      <c r="C1" s="39"/>
      <c r="D1" s="39"/>
      <c r="E1" s="39"/>
      <c r="F1" s="39"/>
      <c r="G1" s="39"/>
      <c r="H1" s="39"/>
      <c r="I1" s="39"/>
      <c r="J1" s="39"/>
    </row>
    <row r="2" customFormat="false" ht="13.5" hidden="false" customHeight="true" outlineLevel="0" collapsed="false">
      <c r="A2" s="5"/>
      <c r="B2" s="5"/>
      <c r="C2" s="5"/>
      <c r="D2" s="5"/>
      <c r="E2" s="5"/>
      <c r="F2" s="5"/>
      <c r="G2" s="5"/>
      <c r="H2" s="5"/>
      <c r="I2" s="5"/>
      <c r="J2" s="5"/>
    </row>
    <row r="3" customFormat="false" ht="14.25" hidden="false" customHeight="true" outlineLevel="0" collapsed="false">
      <c r="A3" s="36" t="s">
        <v>2440</v>
      </c>
      <c r="B3" s="5"/>
      <c r="C3" s="5"/>
      <c r="D3" s="5"/>
      <c r="E3" s="5"/>
      <c r="F3" s="5"/>
      <c r="G3" s="5"/>
      <c r="H3" s="5"/>
      <c r="I3" s="5"/>
      <c r="J3" s="5"/>
    </row>
    <row r="4" customFormat="false" ht="14.25" hidden="false" customHeight="true" outlineLevel="0" collapsed="false">
      <c r="A4" s="36" t="s">
        <v>2441</v>
      </c>
      <c r="B4" s="5"/>
      <c r="C4" s="5"/>
      <c r="D4" s="5"/>
      <c r="E4" s="5"/>
      <c r="F4" s="5"/>
      <c r="G4" s="5"/>
      <c r="H4" s="5"/>
      <c r="I4" s="5"/>
      <c r="J4" s="5"/>
    </row>
    <row r="5" customFormat="false" ht="13.5" hidden="false" customHeight="true" outlineLevel="0" collapsed="false">
      <c r="A5" s="5"/>
      <c r="B5" s="5"/>
      <c r="C5" s="5"/>
      <c r="D5" s="5"/>
      <c r="E5" s="5"/>
      <c r="F5" s="5"/>
      <c r="G5" s="5"/>
      <c r="H5" s="5"/>
      <c r="I5" s="5"/>
      <c r="J5" s="5"/>
    </row>
    <row r="6" customFormat="false" ht="14.25" hidden="false" customHeight="true" outlineLevel="0" collapsed="false">
      <c r="A6" s="37" t="s">
        <v>2442</v>
      </c>
      <c r="B6" s="5"/>
      <c r="C6" s="5"/>
      <c r="D6" s="5"/>
      <c r="E6" s="5"/>
      <c r="F6" s="5"/>
      <c r="G6" s="5"/>
      <c r="H6" s="5"/>
      <c r="I6" s="5"/>
      <c r="J6" s="5"/>
    </row>
    <row r="7" customFormat="false" ht="14.25" hidden="false" customHeight="true" outlineLevel="0" collapsed="false">
      <c r="A7" s="36" t="s">
        <v>2443</v>
      </c>
      <c r="B7" s="5"/>
      <c r="C7" s="5"/>
      <c r="D7" s="5"/>
      <c r="E7" s="5"/>
      <c r="F7" s="5"/>
      <c r="G7" s="5"/>
      <c r="H7" s="5"/>
      <c r="I7" s="5"/>
      <c r="J7" s="5"/>
    </row>
    <row r="8" customFormat="false" ht="14.25" hidden="false" customHeight="true" outlineLevel="0" collapsed="false">
      <c r="A8" s="36" t="s">
        <v>2444</v>
      </c>
      <c r="B8" s="5"/>
      <c r="C8" s="5"/>
      <c r="D8" s="5"/>
      <c r="E8" s="5"/>
      <c r="F8" s="5"/>
      <c r="G8" s="5"/>
      <c r="H8" s="5"/>
      <c r="I8" s="5"/>
      <c r="J8" s="5"/>
    </row>
    <row r="9" customFormat="false" ht="14.25" hidden="false" customHeight="true" outlineLevel="0" collapsed="false">
      <c r="A9" s="36" t="s">
        <v>2445</v>
      </c>
      <c r="B9" s="5"/>
      <c r="C9" s="5"/>
      <c r="D9" s="5"/>
      <c r="E9" s="5"/>
      <c r="F9" s="5"/>
      <c r="G9" s="5"/>
      <c r="H9" s="5"/>
      <c r="I9" s="5"/>
      <c r="J9" s="5"/>
    </row>
    <row r="10" customFormat="false" ht="14.25" hidden="false" customHeight="true" outlineLevel="0" collapsed="false">
      <c r="A10" s="36" t="s">
        <v>2446</v>
      </c>
      <c r="B10" s="5"/>
      <c r="C10" s="5"/>
      <c r="D10" s="5"/>
      <c r="E10" s="5"/>
      <c r="F10" s="5"/>
      <c r="G10" s="5"/>
      <c r="H10" s="5"/>
      <c r="I10" s="5"/>
      <c r="J10" s="5"/>
    </row>
    <row r="11" customFormat="false" ht="14.25" hidden="false" customHeight="true" outlineLevel="0" collapsed="false">
      <c r="A11" s="36" t="s">
        <v>2447</v>
      </c>
      <c r="B11" s="5"/>
      <c r="C11" s="5"/>
      <c r="D11" s="5"/>
      <c r="E11" s="5"/>
      <c r="F11" s="5"/>
      <c r="G11" s="5"/>
      <c r="H11" s="5"/>
      <c r="I11" s="5"/>
      <c r="J11" s="5"/>
    </row>
    <row r="12" customFormat="false" ht="14.25" hidden="false" customHeight="true" outlineLevel="0" collapsed="false">
      <c r="A12" s="36" t="s">
        <v>2448</v>
      </c>
      <c r="B12" s="5"/>
      <c r="C12" s="5"/>
      <c r="D12" s="5"/>
      <c r="E12" s="5"/>
      <c r="F12" s="5"/>
      <c r="G12" s="5"/>
      <c r="H12" s="5"/>
      <c r="I12" s="5"/>
      <c r="J12" s="5"/>
    </row>
    <row r="13" customFormat="false" ht="14.25" hidden="false" customHeight="true" outlineLevel="0" collapsed="false">
      <c r="A13" s="36" t="s">
        <v>2449</v>
      </c>
      <c r="B13" s="5"/>
      <c r="C13" s="5"/>
      <c r="D13" s="5"/>
      <c r="E13" s="5"/>
      <c r="F13" s="5"/>
      <c r="G13" s="5"/>
      <c r="H13" s="5"/>
      <c r="I13" s="5"/>
      <c r="J13" s="5"/>
    </row>
    <row r="14" customFormat="false" ht="13.5" hidden="false" customHeight="true" outlineLevel="0" collapsed="false">
      <c r="A14" s="5"/>
      <c r="B14" s="5"/>
      <c r="C14" s="5"/>
      <c r="D14" s="5"/>
      <c r="E14" s="5"/>
      <c r="F14" s="5"/>
      <c r="G14" s="5"/>
      <c r="H14" s="5"/>
      <c r="I14" s="5"/>
      <c r="J14" s="5"/>
    </row>
    <row r="15" customFormat="false" ht="14.25" hidden="false" customHeight="true" outlineLevel="0" collapsed="false">
      <c r="A15" s="37" t="s">
        <v>2450</v>
      </c>
      <c r="B15" s="5"/>
      <c r="C15" s="5"/>
      <c r="D15" s="5"/>
      <c r="E15" s="5"/>
      <c r="F15" s="5"/>
      <c r="G15" s="5"/>
      <c r="H15" s="5"/>
      <c r="I15" s="5"/>
      <c r="J15" s="5"/>
    </row>
    <row r="16" customFormat="false" ht="14.25" hidden="false" customHeight="true" outlineLevel="0" collapsed="false">
      <c r="A16" s="37" t="s">
        <v>2451</v>
      </c>
      <c r="B16" s="37" t="s">
        <v>244</v>
      </c>
      <c r="C16" s="5"/>
      <c r="D16" s="5"/>
      <c r="E16" s="5"/>
      <c r="F16" s="5"/>
      <c r="G16" s="5"/>
      <c r="H16" s="5"/>
      <c r="I16" s="5"/>
      <c r="J16" s="5"/>
    </row>
    <row r="17" customFormat="false" ht="14.25" hidden="false" customHeight="true" outlineLevel="0" collapsed="false">
      <c r="A17" s="36" t="s">
        <v>2452</v>
      </c>
      <c r="B17" s="50" t="s">
        <v>2453</v>
      </c>
      <c r="C17" s="5"/>
      <c r="D17" s="5"/>
      <c r="E17" s="5"/>
      <c r="F17" s="5"/>
      <c r="G17" s="5"/>
      <c r="H17" s="5"/>
      <c r="I17" s="5"/>
      <c r="J17" s="5"/>
    </row>
    <row r="18" customFormat="false" ht="14.25" hidden="false" customHeight="true" outlineLevel="0" collapsed="false">
      <c r="A18" s="36" t="s">
        <v>2454</v>
      </c>
      <c r="B18" s="50" t="s">
        <v>2453</v>
      </c>
      <c r="C18" s="5"/>
      <c r="D18" s="5"/>
      <c r="E18" s="5"/>
      <c r="F18" s="5"/>
      <c r="G18" s="5"/>
      <c r="H18" s="5"/>
      <c r="I18" s="5"/>
      <c r="J18" s="5"/>
    </row>
    <row r="19" customFormat="false" ht="14.25" hidden="false" customHeight="true" outlineLevel="0" collapsed="false">
      <c r="A19" s="36" t="s">
        <v>2455</v>
      </c>
      <c r="B19" s="50" t="s">
        <v>2453</v>
      </c>
      <c r="C19" s="5"/>
      <c r="D19" s="5"/>
      <c r="E19" s="5"/>
      <c r="F19" s="5"/>
      <c r="G19" s="5"/>
      <c r="H19" s="5"/>
      <c r="I19" s="5"/>
      <c r="J19" s="5"/>
    </row>
    <row r="20" customFormat="false" ht="14.25" hidden="false" customHeight="true" outlineLevel="0" collapsed="false">
      <c r="A20" s="36" t="s">
        <v>2456</v>
      </c>
      <c r="B20" s="50" t="s">
        <v>2453</v>
      </c>
      <c r="C20" s="5"/>
      <c r="D20" s="5"/>
      <c r="E20" s="5"/>
      <c r="F20" s="5"/>
      <c r="G20" s="5"/>
      <c r="H20" s="5"/>
      <c r="I20" s="5"/>
      <c r="J20" s="5"/>
    </row>
    <row r="21" customFormat="false" ht="14.25" hidden="false" customHeight="true" outlineLevel="0" collapsed="false">
      <c r="A21" s="36" t="s">
        <v>2457</v>
      </c>
      <c r="B21" s="50" t="s">
        <v>2453</v>
      </c>
      <c r="C21" s="5"/>
      <c r="D21" s="5"/>
      <c r="E21" s="5"/>
      <c r="F21" s="5"/>
      <c r="G21" s="5"/>
      <c r="H21" s="5"/>
      <c r="I21" s="5"/>
      <c r="J21" s="5"/>
    </row>
    <row r="22" customFormat="false" ht="14.25" hidden="false" customHeight="true" outlineLevel="0" collapsed="false">
      <c r="A22" s="36" t="s">
        <v>2458</v>
      </c>
      <c r="B22" s="50" t="s">
        <v>2459</v>
      </c>
      <c r="C22" s="5"/>
      <c r="D22" s="5"/>
      <c r="E22" s="5"/>
      <c r="F22" s="5"/>
      <c r="G22" s="5"/>
      <c r="H22" s="5"/>
      <c r="I22" s="5"/>
      <c r="J22" s="5"/>
    </row>
    <row r="23" customFormat="false" ht="13.5" hidden="false" customHeight="true" outlineLevel="0" collapsed="false">
      <c r="A23" s="22" t="s">
        <v>2460</v>
      </c>
      <c r="B23" s="5"/>
      <c r="C23" s="5"/>
      <c r="D23" s="5"/>
      <c r="E23" s="5"/>
      <c r="F23" s="5"/>
      <c r="G23" s="5"/>
      <c r="H23" s="5"/>
      <c r="I23" s="5"/>
      <c r="J23" s="5"/>
    </row>
    <row r="24" customFormat="false" ht="13.5" hidden="false" customHeight="true" outlineLevel="0" collapsed="false">
      <c r="A24" s="22" t="s">
        <v>2461</v>
      </c>
      <c r="B24" s="5"/>
      <c r="C24" s="5"/>
      <c r="D24" s="5"/>
      <c r="E24" s="5"/>
      <c r="F24" s="5"/>
      <c r="G24" s="5"/>
      <c r="H24" s="5"/>
      <c r="I24" s="5"/>
      <c r="J24" s="5"/>
    </row>
    <row r="25" customFormat="false" ht="14.25" hidden="false" customHeight="true" outlineLevel="0" collapsed="false">
      <c r="A25" s="37" t="s">
        <v>2462</v>
      </c>
      <c r="B25" s="5"/>
      <c r="C25" s="5"/>
      <c r="D25" s="5"/>
      <c r="E25" s="5"/>
      <c r="F25" s="5"/>
      <c r="G25" s="5"/>
      <c r="H25" s="5"/>
      <c r="I25" s="5"/>
      <c r="J25" s="5"/>
    </row>
    <row r="26" customFormat="false" ht="14.25" hidden="false" customHeight="true" outlineLevel="0" collapsed="false">
      <c r="A26" s="50" t="s">
        <v>2463</v>
      </c>
      <c r="B26" s="5"/>
      <c r="C26" s="5"/>
      <c r="D26" s="5"/>
      <c r="E26" s="5"/>
      <c r="F26" s="5"/>
      <c r="G26" s="5"/>
      <c r="H26" s="5"/>
      <c r="I26" s="5"/>
      <c r="J26" s="5"/>
    </row>
    <row r="27" customFormat="false" ht="13.5" hidden="false" customHeight="true" outlineLevel="0" collapsed="false">
      <c r="A27" s="5"/>
      <c r="B27" s="5"/>
      <c r="C27" s="5"/>
      <c r="D27" s="5"/>
      <c r="E27" s="5"/>
      <c r="F27" s="5"/>
      <c r="G27" s="5"/>
      <c r="H27" s="5"/>
      <c r="I27" s="5"/>
      <c r="J27" s="5"/>
    </row>
    <row r="28" customFormat="false" ht="14.25" hidden="false" customHeight="true" outlineLevel="0" collapsed="false">
      <c r="A28" s="37" t="s">
        <v>2464</v>
      </c>
      <c r="B28" s="5"/>
      <c r="C28" s="5"/>
      <c r="D28" s="5"/>
      <c r="E28" s="5"/>
      <c r="F28" s="5"/>
      <c r="G28" s="5"/>
      <c r="H28" s="5"/>
      <c r="I28" s="5"/>
      <c r="J28" s="5"/>
    </row>
    <row r="29" customFormat="false" ht="14.25" hidden="false" customHeight="true" outlineLevel="0" collapsed="false">
      <c r="A29" s="36" t="s">
        <v>2465</v>
      </c>
      <c r="B29" s="5"/>
      <c r="C29" s="5"/>
      <c r="D29" s="5"/>
      <c r="E29" s="5"/>
      <c r="F29" s="5"/>
      <c r="G29" s="5"/>
      <c r="H29" s="5"/>
      <c r="I29" s="5"/>
      <c r="J29" s="5"/>
    </row>
    <row r="30" customFormat="false" ht="14.25" hidden="false" customHeight="true" outlineLevel="0" collapsed="false">
      <c r="A30" s="36" t="s">
        <v>2466</v>
      </c>
      <c r="B30" s="5"/>
      <c r="C30" s="5"/>
      <c r="D30" s="5"/>
      <c r="E30" s="5"/>
      <c r="F30" s="5"/>
      <c r="G30" s="5"/>
      <c r="H30" s="5"/>
      <c r="I30" s="5"/>
      <c r="J30" s="5"/>
    </row>
    <row r="31" customFormat="false" ht="14.25" hidden="false" customHeight="true" outlineLevel="0" collapsed="false">
      <c r="A31" s="36" t="s">
        <v>2467</v>
      </c>
      <c r="B31" s="5"/>
      <c r="C31" s="5"/>
      <c r="D31" s="5"/>
      <c r="E31" s="5"/>
      <c r="F31" s="5"/>
      <c r="G31" s="5"/>
      <c r="H31" s="5"/>
      <c r="I31" s="5"/>
      <c r="J31" s="5"/>
    </row>
    <row r="32" customFormat="false" ht="14.25" hidden="false" customHeight="true" outlineLevel="0" collapsed="false">
      <c r="A32" s="36" t="s">
        <v>2468</v>
      </c>
      <c r="B32" s="5"/>
      <c r="C32" s="5"/>
      <c r="D32" s="5"/>
      <c r="E32" s="5"/>
      <c r="F32" s="5"/>
      <c r="G32" s="5"/>
      <c r="H32" s="5"/>
      <c r="I32" s="5"/>
      <c r="J32" s="5"/>
    </row>
    <row r="33" customFormat="false" ht="13.5" hidden="false" customHeight="true" outlineLevel="0" collapsed="false">
      <c r="A33" s="5"/>
      <c r="B33" s="5"/>
      <c r="C33" s="5"/>
      <c r="D33" s="5"/>
      <c r="E33" s="5"/>
      <c r="F33" s="5"/>
      <c r="G33" s="5"/>
      <c r="H33" s="5"/>
      <c r="I33" s="5"/>
      <c r="J33" s="5"/>
    </row>
    <row r="34" customFormat="false" ht="14.25" hidden="false" customHeight="true" outlineLevel="0" collapsed="false">
      <c r="A34" s="36" t="s">
        <v>2469</v>
      </c>
      <c r="B34" s="5"/>
      <c r="C34" s="5"/>
      <c r="D34" s="5"/>
      <c r="E34" s="5"/>
      <c r="F34" s="5"/>
      <c r="G34" s="5"/>
      <c r="H34" s="5"/>
      <c r="I34" s="5"/>
      <c r="J34" s="5"/>
    </row>
  </sheetData>
  <mergeCells count="1">
    <mergeCell ref="A1:J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7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1" width="46"/>
    <col collapsed="false" customWidth="true" hidden="false" outlineLevel="0" max="2" min="2" style="1" width="28"/>
    <col collapsed="false" customWidth="true" hidden="false" outlineLevel="0" max="3" min="3" style="1" width="58"/>
    <col collapsed="false" customWidth="true" hidden="false" outlineLevel="0" max="10" min="4" style="2" width="10"/>
  </cols>
  <sheetData>
    <row r="1" customFormat="false" ht="24" hidden="false" customHeight="true" outlineLevel="0" collapsed="false">
      <c r="A1" s="115" t="s">
        <v>2470</v>
      </c>
      <c r="B1" s="115"/>
      <c r="C1" s="115"/>
      <c r="D1" s="115"/>
      <c r="E1" s="115"/>
      <c r="F1" s="115"/>
      <c r="G1" s="115"/>
      <c r="H1" s="115"/>
      <c r="I1" s="115"/>
      <c r="J1" s="115"/>
    </row>
    <row r="2" customFormat="false" ht="13.5" hidden="false" customHeight="true" outlineLevel="0" collapsed="false">
      <c r="A2" s="5"/>
      <c r="B2" s="5"/>
      <c r="C2" s="5"/>
      <c r="D2" s="5"/>
      <c r="E2" s="5"/>
      <c r="F2" s="5"/>
      <c r="G2" s="5"/>
      <c r="H2" s="5"/>
      <c r="I2" s="5"/>
      <c r="J2" s="5"/>
    </row>
    <row r="3" customFormat="false" ht="18" hidden="false" customHeight="true" outlineLevel="0" collapsed="false">
      <c r="A3" s="116" t="s">
        <v>2471</v>
      </c>
      <c r="B3" s="117"/>
      <c r="C3" s="117"/>
      <c r="D3" s="5"/>
      <c r="E3" s="5"/>
      <c r="F3" s="5"/>
      <c r="G3" s="5"/>
      <c r="H3" s="5"/>
      <c r="I3" s="5"/>
      <c r="J3" s="5"/>
    </row>
    <row r="4" customFormat="false" ht="14.25" hidden="false" customHeight="true" outlineLevel="0" collapsed="false">
      <c r="A4" s="7" t="s">
        <v>2472</v>
      </c>
      <c r="B4" s="5"/>
      <c r="C4" s="5"/>
      <c r="D4" s="5"/>
      <c r="E4" s="5"/>
      <c r="F4" s="5"/>
      <c r="G4" s="5"/>
      <c r="H4" s="5"/>
      <c r="I4" s="5"/>
      <c r="J4" s="5"/>
    </row>
    <row r="5" customFormat="false" ht="18" hidden="false" customHeight="true" outlineLevel="0" collapsed="false">
      <c r="A5" s="118" t="s">
        <v>2473</v>
      </c>
      <c r="B5" s="57"/>
      <c r="C5" s="57"/>
      <c r="D5" s="5"/>
      <c r="E5" s="5"/>
      <c r="F5" s="5"/>
      <c r="G5" s="5"/>
      <c r="H5" s="5"/>
      <c r="I5" s="5"/>
      <c r="J5" s="5"/>
    </row>
    <row r="6" customFormat="false" ht="14.25" hidden="false" customHeight="true" outlineLevel="0" collapsed="false">
      <c r="A6" s="7" t="s">
        <v>2474</v>
      </c>
      <c r="B6" s="5"/>
      <c r="C6" s="5"/>
      <c r="D6" s="5"/>
      <c r="E6" s="5"/>
      <c r="F6" s="5"/>
      <c r="G6" s="5"/>
      <c r="H6" s="5"/>
      <c r="I6" s="5"/>
      <c r="J6" s="5"/>
    </row>
    <row r="7" customFormat="false" ht="14.25" hidden="false" customHeight="true" outlineLevel="0" collapsed="false">
      <c r="A7" s="7" t="s">
        <v>2475</v>
      </c>
      <c r="B7" s="5"/>
      <c r="C7" s="5"/>
      <c r="D7" s="5"/>
      <c r="E7" s="5"/>
      <c r="F7" s="5"/>
      <c r="G7" s="5"/>
      <c r="H7" s="5"/>
      <c r="I7" s="5"/>
      <c r="J7" s="5"/>
    </row>
    <row r="8" customFormat="false" ht="14.25" hidden="false" customHeight="true" outlineLevel="0" collapsed="false">
      <c r="A8" s="7" t="s">
        <v>2476</v>
      </c>
      <c r="B8" s="5"/>
      <c r="C8" s="5"/>
      <c r="D8" s="5"/>
      <c r="E8" s="5"/>
      <c r="F8" s="5"/>
      <c r="G8" s="5"/>
      <c r="H8" s="5"/>
      <c r="I8" s="5"/>
      <c r="J8" s="5"/>
    </row>
    <row r="9" customFormat="false" ht="14.25" hidden="false" customHeight="true" outlineLevel="0" collapsed="false">
      <c r="A9" s="7" t="s">
        <v>2477</v>
      </c>
      <c r="B9" s="5"/>
      <c r="C9" s="5"/>
      <c r="D9" s="5"/>
      <c r="E9" s="5"/>
      <c r="F9" s="5"/>
      <c r="G9" s="5"/>
      <c r="H9" s="5"/>
      <c r="I9" s="5"/>
      <c r="J9" s="5"/>
    </row>
    <row r="10" customFormat="false" ht="14.25" hidden="false" customHeight="true" outlineLevel="0" collapsed="false">
      <c r="A10" s="7" t="s">
        <v>2478</v>
      </c>
      <c r="B10" s="5"/>
      <c r="C10" s="5"/>
      <c r="D10" s="5"/>
      <c r="E10" s="5"/>
      <c r="F10" s="5"/>
      <c r="G10" s="5"/>
      <c r="H10" s="5"/>
      <c r="I10" s="5"/>
      <c r="J10" s="5"/>
    </row>
    <row r="11" customFormat="false" ht="14.25" hidden="false" customHeight="true" outlineLevel="0" collapsed="false">
      <c r="A11" s="7" t="s">
        <v>2479</v>
      </c>
      <c r="B11" s="5"/>
      <c r="C11" s="5"/>
      <c r="D11" s="5"/>
      <c r="E11" s="5"/>
      <c r="F11" s="5"/>
      <c r="G11" s="5"/>
      <c r="H11" s="5"/>
      <c r="I11" s="5"/>
      <c r="J11" s="5"/>
    </row>
    <row r="12" customFormat="false" ht="13.5" hidden="false" customHeight="true" outlineLevel="0" collapsed="false">
      <c r="A12" s="7" t="s">
        <v>2480</v>
      </c>
      <c r="B12" s="5"/>
      <c r="C12" s="5"/>
      <c r="D12" s="5"/>
      <c r="E12" s="5"/>
      <c r="F12" s="5"/>
      <c r="G12" s="5"/>
      <c r="H12" s="5"/>
      <c r="I12" s="5"/>
      <c r="J12" s="5"/>
    </row>
    <row r="13" customFormat="false" ht="14.25" hidden="false" customHeight="true" outlineLevel="0" collapsed="false">
      <c r="A13" s="7" t="s">
        <v>2481</v>
      </c>
      <c r="B13" s="5"/>
      <c r="C13" s="5"/>
      <c r="D13" s="5"/>
      <c r="E13" s="5"/>
      <c r="F13" s="5"/>
      <c r="G13" s="5"/>
      <c r="H13" s="5"/>
      <c r="I13" s="5"/>
      <c r="J13" s="5"/>
    </row>
    <row r="14" customFormat="false" ht="14.25" hidden="false" customHeight="true" outlineLevel="0" collapsed="false">
      <c r="A14" s="7" t="s">
        <v>2482</v>
      </c>
      <c r="B14" s="5"/>
      <c r="C14" s="5"/>
      <c r="D14" s="5"/>
      <c r="E14" s="5"/>
      <c r="F14" s="5"/>
      <c r="G14" s="5"/>
      <c r="H14" s="5"/>
      <c r="I14" s="5"/>
      <c r="J14" s="5"/>
    </row>
    <row r="15" customFormat="false" ht="14.25" hidden="false" customHeight="true" outlineLevel="0" collapsed="false">
      <c r="A15" s="23" t="s">
        <v>2483</v>
      </c>
      <c r="B15" s="5"/>
      <c r="C15" s="5"/>
      <c r="D15" s="5"/>
      <c r="E15" s="5"/>
      <c r="F15" s="5"/>
      <c r="G15" s="5"/>
      <c r="H15" s="5"/>
      <c r="I15" s="5"/>
      <c r="J15" s="5"/>
    </row>
    <row r="16" customFormat="false" ht="18" hidden="false" customHeight="true" outlineLevel="0" collapsed="false">
      <c r="A16" s="42" t="s">
        <v>2484</v>
      </c>
      <c r="B16" s="42"/>
      <c r="C16" s="42"/>
      <c r="D16" s="5"/>
      <c r="E16" s="5"/>
      <c r="F16" s="5"/>
      <c r="G16" s="5"/>
      <c r="H16" s="5"/>
      <c r="I16" s="5"/>
      <c r="J16" s="5"/>
    </row>
    <row r="17" customFormat="false" ht="14.25" hidden="false" customHeight="true" outlineLevel="0" collapsed="false">
      <c r="A17" s="7" t="n">
        <v>1</v>
      </c>
      <c r="B17" s="7" t="s">
        <v>2485</v>
      </c>
      <c r="C17" s="7" t="s">
        <v>2486</v>
      </c>
      <c r="D17" s="5"/>
      <c r="E17" s="5"/>
      <c r="F17" s="5"/>
      <c r="G17" s="5"/>
      <c r="H17" s="5"/>
      <c r="I17" s="5"/>
      <c r="J17" s="5"/>
    </row>
    <row r="18" customFormat="false" ht="14.25" hidden="false" customHeight="true" outlineLevel="0" collapsed="false">
      <c r="A18" s="7" t="n">
        <v>2</v>
      </c>
      <c r="B18" s="7" t="s">
        <v>411</v>
      </c>
      <c r="C18" s="7" t="s">
        <v>2487</v>
      </c>
      <c r="D18" s="5"/>
      <c r="E18" s="5"/>
      <c r="F18" s="5"/>
      <c r="G18" s="5"/>
      <c r="H18" s="5"/>
      <c r="I18" s="5"/>
      <c r="J18" s="5"/>
    </row>
    <row r="19" customFormat="false" ht="14.25" hidden="false" customHeight="true" outlineLevel="0" collapsed="false">
      <c r="A19" s="7" t="n">
        <v>3</v>
      </c>
      <c r="B19" s="7" t="s">
        <v>558</v>
      </c>
      <c r="C19" s="7" t="s">
        <v>2488</v>
      </c>
      <c r="D19" s="5"/>
      <c r="E19" s="5"/>
      <c r="F19" s="5"/>
      <c r="G19" s="5"/>
      <c r="H19" s="5"/>
      <c r="I19" s="5"/>
      <c r="J19" s="5"/>
    </row>
    <row r="20" customFormat="false" ht="14.25" hidden="false" customHeight="true" outlineLevel="0" collapsed="false">
      <c r="A20" s="7" t="n">
        <v>4</v>
      </c>
      <c r="B20" s="7" t="s">
        <v>2489</v>
      </c>
      <c r="C20" s="7" t="s">
        <v>2490</v>
      </c>
      <c r="D20" s="5"/>
      <c r="E20" s="5"/>
      <c r="F20" s="5"/>
      <c r="G20" s="5"/>
      <c r="H20" s="5"/>
      <c r="I20" s="5"/>
      <c r="J20" s="5"/>
    </row>
    <row r="21" customFormat="false" ht="14.25" hidden="false" customHeight="true" outlineLevel="0" collapsed="false">
      <c r="A21" s="7" t="n">
        <v>5</v>
      </c>
      <c r="B21" s="7" t="s">
        <v>2491</v>
      </c>
      <c r="C21" s="7" t="s">
        <v>2492</v>
      </c>
      <c r="D21" s="5"/>
      <c r="E21" s="5"/>
      <c r="F21" s="5"/>
      <c r="G21" s="5"/>
      <c r="H21" s="5"/>
      <c r="I21" s="5"/>
      <c r="J21" s="5"/>
    </row>
    <row r="22" customFormat="false" ht="14.25" hidden="false" customHeight="true" outlineLevel="0" collapsed="false">
      <c r="A22" s="7" t="n">
        <v>6</v>
      </c>
      <c r="B22" s="7" t="s">
        <v>2493</v>
      </c>
      <c r="C22" s="7" t="s">
        <v>2494</v>
      </c>
      <c r="D22" s="5"/>
      <c r="E22" s="5"/>
      <c r="F22" s="5"/>
      <c r="G22" s="5"/>
      <c r="H22" s="5"/>
      <c r="I22" s="5"/>
      <c r="J22" s="5"/>
    </row>
    <row r="23" customFormat="false" ht="14.25" hidden="false" customHeight="true" outlineLevel="0" collapsed="false">
      <c r="A23" s="7" t="n">
        <v>7</v>
      </c>
      <c r="B23" s="7" t="s">
        <v>2495</v>
      </c>
      <c r="C23" s="7" t="s">
        <v>2496</v>
      </c>
      <c r="D23" s="5"/>
      <c r="E23" s="5"/>
      <c r="F23" s="5"/>
      <c r="G23" s="5"/>
      <c r="H23" s="5"/>
      <c r="I23" s="5"/>
      <c r="J23" s="5"/>
    </row>
    <row r="24" customFormat="false" ht="14.25" hidden="false" customHeight="true" outlineLevel="0" collapsed="false">
      <c r="A24" s="7" t="n">
        <v>8</v>
      </c>
      <c r="B24" s="7" t="s">
        <v>2497</v>
      </c>
      <c r="C24" s="7" t="s">
        <v>2498</v>
      </c>
      <c r="D24" s="5"/>
      <c r="E24" s="5"/>
      <c r="F24" s="5"/>
      <c r="G24" s="5"/>
      <c r="H24" s="5"/>
      <c r="I24" s="5"/>
      <c r="J24" s="5"/>
    </row>
    <row r="25" customFormat="false" ht="14.25" hidden="false" customHeight="true" outlineLevel="0" collapsed="false">
      <c r="A25" s="7" t="n">
        <v>9</v>
      </c>
      <c r="B25" s="7" t="s">
        <v>2499</v>
      </c>
      <c r="C25" s="7" t="s">
        <v>2500</v>
      </c>
      <c r="D25" s="5"/>
      <c r="E25" s="5"/>
      <c r="F25" s="5"/>
      <c r="G25" s="5"/>
      <c r="H25" s="5"/>
      <c r="I25" s="5"/>
      <c r="J25" s="5"/>
    </row>
    <row r="26" customFormat="false" ht="14.25" hidden="false" customHeight="true" outlineLevel="0" collapsed="false">
      <c r="A26" s="7" t="n">
        <v>10</v>
      </c>
      <c r="B26" s="7" t="s">
        <v>2501</v>
      </c>
      <c r="C26" s="7" t="s">
        <v>2502</v>
      </c>
      <c r="D26" s="5"/>
      <c r="E26" s="5"/>
      <c r="F26" s="5"/>
      <c r="G26" s="5"/>
      <c r="H26" s="5"/>
      <c r="I26" s="5"/>
      <c r="J26" s="5"/>
    </row>
    <row r="27" customFormat="false" ht="14.25" hidden="false" customHeight="true" outlineLevel="0" collapsed="false">
      <c r="A27" s="7" t="n">
        <v>11</v>
      </c>
      <c r="B27" s="7" t="s">
        <v>2503</v>
      </c>
      <c r="C27" s="7" t="s">
        <v>2504</v>
      </c>
      <c r="D27" s="5"/>
      <c r="E27" s="5"/>
      <c r="F27" s="5"/>
      <c r="G27" s="5"/>
      <c r="H27" s="5"/>
      <c r="I27" s="5"/>
      <c r="J27" s="5"/>
    </row>
    <row r="28" customFormat="false" ht="14.25" hidden="false" customHeight="true" outlineLevel="0" collapsed="false">
      <c r="A28" s="7" t="n">
        <v>12</v>
      </c>
      <c r="B28" s="7" t="s">
        <v>2505</v>
      </c>
      <c r="C28" s="7" t="s">
        <v>2506</v>
      </c>
      <c r="D28" s="5"/>
      <c r="E28" s="5"/>
      <c r="F28" s="5"/>
      <c r="G28" s="5"/>
      <c r="H28" s="5"/>
      <c r="I28" s="5"/>
      <c r="J28" s="5"/>
    </row>
    <row r="29" customFormat="false" ht="14.25" hidden="false" customHeight="true" outlineLevel="0" collapsed="false">
      <c r="A29" s="7" t="n">
        <v>13</v>
      </c>
      <c r="B29" s="7" t="s">
        <v>2344</v>
      </c>
      <c r="C29" s="7" t="s">
        <v>2507</v>
      </c>
      <c r="D29" s="5"/>
      <c r="E29" s="5"/>
      <c r="F29" s="5"/>
      <c r="G29" s="5"/>
      <c r="H29" s="5"/>
      <c r="I29" s="5"/>
      <c r="J29" s="5"/>
    </row>
    <row r="30" customFormat="false" ht="14.25" hidden="false" customHeight="true" outlineLevel="0" collapsed="false">
      <c r="A30" s="7" t="n">
        <v>14</v>
      </c>
      <c r="B30" s="7" t="s">
        <v>2508</v>
      </c>
      <c r="C30" s="7" t="s">
        <v>2509</v>
      </c>
      <c r="D30" s="5"/>
      <c r="E30" s="5"/>
      <c r="F30" s="5"/>
      <c r="G30" s="5"/>
      <c r="H30" s="5"/>
      <c r="I30" s="5"/>
      <c r="J30" s="5"/>
    </row>
    <row r="31" customFormat="false" ht="14.25" hidden="false" customHeight="true" outlineLevel="0" collapsed="false">
      <c r="A31" s="7" t="n">
        <v>15</v>
      </c>
      <c r="B31" s="7" t="s">
        <v>2510</v>
      </c>
      <c r="C31" s="7" t="s">
        <v>2511</v>
      </c>
      <c r="D31" s="5"/>
      <c r="E31" s="5"/>
      <c r="F31" s="5"/>
      <c r="G31" s="5"/>
      <c r="H31" s="5"/>
      <c r="I31" s="5"/>
      <c r="J31" s="5"/>
    </row>
    <row r="32" customFormat="false" ht="14.25" hidden="false" customHeight="true" outlineLevel="0" collapsed="false">
      <c r="A32" s="7" t="n">
        <v>16</v>
      </c>
      <c r="B32" s="7" t="s">
        <v>379</v>
      </c>
      <c r="C32" s="7" t="s">
        <v>2512</v>
      </c>
      <c r="D32" s="5"/>
      <c r="E32" s="5"/>
      <c r="F32" s="5"/>
      <c r="G32" s="5"/>
      <c r="H32" s="5"/>
      <c r="I32" s="5"/>
      <c r="J32" s="5"/>
    </row>
    <row r="33" customFormat="false" ht="14.25" hidden="false" customHeight="true" outlineLevel="0" collapsed="false">
      <c r="A33" s="7" t="n">
        <v>17</v>
      </c>
      <c r="B33" s="7" t="s">
        <v>2513</v>
      </c>
      <c r="C33" s="7" t="s">
        <v>2514</v>
      </c>
      <c r="D33" s="5"/>
      <c r="E33" s="5"/>
      <c r="F33" s="5"/>
      <c r="G33" s="5"/>
      <c r="H33" s="5"/>
      <c r="I33" s="5"/>
      <c r="J33" s="5"/>
    </row>
    <row r="34" customFormat="false" ht="14.25" hidden="false" customHeight="true" outlineLevel="0" collapsed="false">
      <c r="A34" s="7" t="n">
        <v>18</v>
      </c>
      <c r="B34" s="7" t="s">
        <v>104</v>
      </c>
      <c r="C34" s="7" t="s">
        <v>2515</v>
      </c>
      <c r="D34" s="5"/>
      <c r="E34" s="5"/>
      <c r="F34" s="5"/>
      <c r="G34" s="5"/>
      <c r="H34" s="5"/>
      <c r="I34" s="5"/>
      <c r="J34" s="5"/>
    </row>
    <row r="35" customFormat="false" ht="13.5" hidden="false" customHeight="true" outlineLevel="0" collapsed="false">
      <c r="A35" s="7" t="n">
        <v>19</v>
      </c>
      <c r="B35" s="7" t="s">
        <v>388</v>
      </c>
      <c r="C35" s="7" t="s">
        <v>2516</v>
      </c>
      <c r="D35" s="5"/>
      <c r="E35" s="5"/>
      <c r="F35" s="5"/>
      <c r="G35" s="5"/>
      <c r="H35" s="5"/>
      <c r="I35" s="5"/>
      <c r="J35" s="5"/>
    </row>
    <row r="36" customFormat="false" ht="13.5" hidden="false" customHeight="true" outlineLevel="0" collapsed="false">
      <c r="A36" s="7" t="n">
        <v>20</v>
      </c>
      <c r="B36" s="7" t="s">
        <v>1854</v>
      </c>
      <c r="C36" s="7" t="s">
        <v>2517</v>
      </c>
      <c r="D36" s="5"/>
      <c r="E36" s="5"/>
      <c r="F36" s="5"/>
      <c r="G36" s="5"/>
      <c r="H36" s="5"/>
      <c r="I36" s="5"/>
      <c r="J36" s="5"/>
    </row>
    <row r="37" customFormat="false" ht="12.75" hidden="false" customHeight="true" outlineLevel="0" collapsed="false">
      <c r="A37" s="5" t="n">
        <v>21</v>
      </c>
      <c r="B37" s="5" t="s">
        <v>2518</v>
      </c>
      <c r="C37" s="5" t="s">
        <v>2519</v>
      </c>
      <c r="D37" s="5"/>
      <c r="E37" s="5"/>
      <c r="F37" s="5"/>
      <c r="G37" s="5"/>
      <c r="H37" s="5"/>
      <c r="I37" s="5"/>
      <c r="J37" s="5"/>
    </row>
    <row r="38" customFormat="false" ht="12.75" hidden="false" customHeight="true" outlineLevel="0" collapsed="false">
      <c r="A38" s="5" t="n">
        <v>22</v>
      </c>
      <c r="B38" s="5" t="s">
        <v>2520</v>
      </c>
      <c r="C38" s="5" t="s">
        <v>2521</v>
      </c>
      <c r="D38" s="5"/>
      <c r="E38" s="5"/>
      <c r="F38" s="5"/>
      <c r="G38" s="5"/>
      <c r="H38" s="5"/>
      <c r="I38" s="5"/>
      <c r="J38" s="5"/>
    </row>
    <row r="39" customFormat="false" ht="14.25" hidden="false" customHeight="true" outlineLevel="0" collapsed="false">
      <c r="A39" s="23" t="n">
        <v>23</v>
      </c>
      <c r="B39" s="5" t="s">
        <v>373</v>
      </c>
      <c r="C39" s="5" t="s">
        <v>2522</v>
      </c>
      <c r="D39" s="5"/>
      <c r="E39" s="5"/>
      <c r="F39" s="5"/>
      <c r="G39" s="5"/>
      <c r="H39" s="5"/>
      <c r="I39" s="5"/>
      <c r="J39" s="5"/>
    </row>
    <row r="40" customFormat="false" ht="14.25" hidden="false" customHeight="true" outlineLevel="0" collapsed="false">
      <c r="A40" s="7" t="n">
        <v>24</v>
      </c>
      <c r="B40" s="5" t="s">
        <v>2523</v>
      </c>
      <c r="C40" s="5" t="s">
        <v>2524</v>
      </c>
      <c r="D40" s="5"/>
      <c r="E40" s="5"/>
      <c r="F40" s="5"/>
      <c r="G40" s="5"/>
      <c r="H40" s="5"/>
      <c r="I40" s="5"/>
      <c r="J40" s="5"/>
    </row>
    <row r="41" customFormat="false" ht="14.25" hidden="false" customHeight="true" outlineLevel="0" collapsed="false">
      <c r="A41" s="7" t="n">
        <v>25</v>
      </c>
      <c r="B41" s="5" t="s">
        <v>548</v>
      </c>
      <c r="C41" s="5" t="s">
        <v>2525</v>
      </c>
      <c r="D41" s="5"/>
      <c r="E41" s="5"/>
      <c r="F41" s="5"/>
      <c r="G41" s="5"/>
      <c r="H41" s="5"/>
      <c r="I41" s="5"/>
      <c r="J41" s="5"/>
    </row>
    <row r="42" customFormat="false" ht="14.25" hidden="false" customHeight="true" outlineLevel="0" collapsed="false">
      <c r="A42" s="7" t="n">
        <v>26</v>
      </c>
      <c r="B42" s="5" t="s">
        <v>2526</v>
      </c>
      <c r="C42" s="5" t="s">
        <v>2527</v>
      </c>
      <c r="D42" s="5"/>
      <c r="E42" s="5"/>
      <c r="F42" s="5"/>
      <c r="G42" s="5"/>
      <c r="H42" s="5"/>
      <c r="I42" s="5"/>
      <c r="J42" s="5"/>
    </row>
    <row r="43" customFormat="false" ht="14.25" hidden="false" customHeight="true" outlineLevel="0" collapsed="false">
      <c r="A43" s="7" t="n">
        <v>27</v>
      </c>
      <c r="B43" s="5" t="s">
        <v>2528</v>
      </c>
      <c r="C43" s="5" t="s">
        <v>2529</v>
      </c>
      <c r="D43" s="5"/>
      <c r="E43" s="5"/>
      <c r="F43" s="5"/>
      <c r="G43" s="5"/>
      <c r="H43" s="5"/>
      <c r="I43" s="5"/>
      <c r="J43" s="5"/>
    </row>
    <row r="44" customFormat="false" ht="14.25" hidden="false" customHeight="true" outlineLevel="0" collapsed="false">
      <c r="A44" s="7" t="n">
        <v>28</v>
      </c>
      <c r="B44" s="5" t="s">
        <v>2530</v>
      </c>
      <c r="C44" s="5" t="s">
        <v>2531</v>
      </c>
      <c r="D44" s="5"/>
      <c r="E44" s="5"/>
      <c r="F44" s="5"/>
      <c r="G44" s="5"/>
      <c r="H44" s="5"/>
      <c r="I44" s="5"/>
      <c r="J44" s="5"/>
    </row>
    <row r="45" customFormat="false" ht="15" hidden="false" customHeight="true" outlineLevel="0" collapsed="false">
      <c r="A45" s="7" t="n">
        <v>29</v>
      </c>
      <c r="B45" s="5" t="s">
        <v>487</v>
      </c>
      <c r="C45" s="5" t="s">
        <v>2532</v>
      </c>
      <c r="D45" s="5"/>
      <c r="E45" s="5"/>
      <c r="F45" s="5"/>
      <c r="G45" s="5"/>
      <c r="H45" s="5"/>
      <c r="I45" s="5"/>
      <c r="J45" s="5"/>
    </row>
    <row r="46" customFormat="false" ht="13.5" hidden="false" customHeight="true" outlineLevel="0" collapsed="false">
      <c r="A46" s="5" t="n">
        <v>30</v>
      </c>
      <c r="B46" s="5" t="s">
        <v>493</v>
      </c>
      <c r="C46" s="5" t="s">
        <v>2533</v>
      </c>
      <c r="D46" s="5"/>
      <c r="E46" s="5"/>
      <c r="F46" s="5"/>
      <c r="G46" s="5"/>
      <c r="H46" s="5"/>
      <c r="I46" s="5"/>
      <c r="J46" s="5"/>
    </row>
    <row r="47" customFormat="false" ht="13.5" hidden="false" customHeight="true" outlineLevel="0" collapsed="false">
      <c r="A47" s="27" t="n">
        <v>31</v>
      </c>
      <c r="B47" s="5" t="s">
        <v>2534</v>
      </c>
      <c r="C47" s="5" t="s">
        <v>2535</v>
      </c>
      <c r="D47" s="5"/>
      <c r="E47" s="5"/>
      <c r="F47" s="5"/>
      <c r="G47" s="5"/>
      <c r="H47" s="5"/>
      <c r="I47" s="5"/>
      <c r="J47" s="5"/>
    </row>
    <row r="48" customFormat="false" ht="13.5" hidden="false" customHeight="true" outlineLevel="0" collapsed="false">
      <c r="A48" s="29" t="n">
        <v>32</v>
      </c>
      <c r="B48" s="5" t="s">
        <v>2536</v>
      </c>
      <c r="C48" s="5" t="s">
        <v>2537</v>
      </c>
      <c r="D48" s="5"/>
      <c r="E48" s="5"/>
      <c r="F48" s="5"/>
      <c r="G48" s="5"/>
      <c r="H48" s="5"/>
      <c r="I48" s="5"/>
      <c r="J48" s="5"/>
    </row>
    <row r="49" customFormat="false" ht="13.5" hidden="false" customHeight="true" outlineLevel="0" collapsed="false">
      <c r="A49" s="29" t="n">
        <v>33</v>
      </c>
      <c r="B49" s="5" t="s">
        <v>2538</v>
      </c>
      <c r="C49" s="5" t="s">
        <v>2539</v>
      </c>
      <c r="D49" s="5"/>
      <c r="E49" s="5"/>
      <c r="F49" s="5"/>
      <c r="G49" s="5"/>
      <c r="H49" s="5"/>
      <c r="I49" s="5"/>
      <c r="J49" s="5"/>
    </row>
    <row r="50" customFormat="false" ht="13.5" hidden="false" customHeight="true" outlineLevel="0" collapsed="false">
      <c r="A50" s="29" t="n">
        <v>34</v>
      </c>
      <c r="B50" s="5" t="s">
        <v>2540</v>
      </c>
      <c r="C50" s="5" t="s">
        <v>2541</v>
      </c>
      <c r="D50" s="5"/>
      <c r="E50" s="5"/>
      <c r="F50" s="5"/>
      <c r="G50" s="5"/>
      <c r="H50" s="5"/>
      <c r="I50" s="5"/>
      <c r="J50" s="5"/>
    </row>
    <row r="51" customFormat="false" ht="13.5" hidden="false" customHeight="true" outlineLevel="0" collapsed="false">
      <c r="A51" s="29" t="n">
        <v>35</v>
      </c>
      <c r="B51" s="5" t="s">
        <v>2542</v>
      </c>
      <c r="C51" s="5" t="s">
        <v>2543</v>
      </c>
      <c r="D51" s="5"/>
      <c r="E51" s="5"/>
      <c r="F51" s="5"/>
      <c r="G51" s="5"/>
      <c r="H51" s="5"/>
      <c r="I51" s="5"/>
      <c r="J51" s="5"/>
    </row>
    <row r="52" customFormat="false" ht="13.5" hidden="false" customHeight="true" outlineLevel="0" collapsed="false">
      <c r="A52" s="29" t="n">
        <v>36</v>
      </c>
      <c r="B52" s="5" t="s">
        <v>512</v>
      </c>
      <c r="C52" s="5" t="s">
        <v>2544</v>
      </c>
      <c r="D52" s="5"/>
      <c r="E52" s="5"/>
      <c r="F52" s="5"/>
      <c r="G52" s="5"/>
      <c r="H52" s="5"/>
      <c r="I52" s="5"/>
      <c r="J52" s="5"/>
    </row>
    <row r="53" customFormat="false" ht="14.25" hidden="false" customHeight="true" outlineLevel="0" collapsed="false">
      <c r="A53" s="29" t="n">
        <v>37</v>
      </c>
      <c r="B53" s="5" t="s">
        <v>515</v>
      </c>
      <c r="C53" s="5" t="s">
        <v>2545</v>
      </c>
      <c r="D53" s="5"/>
      <c r="E53" s="5"/>
      <c r="F53" s="5"/>
      <c r="G53" s="5"/>
      <c r="H53" s="5"/>
      <c r="I53" s="5"/>
      <c r="J53" s="5"/>
    </row>
    <row r="54" customFormat="false" ht="14.25" hidden="false" customHeight="true" outlineLevel="0" collapsed="false">
      <c r="A54" s="29" t="n">
        <v>38</v>
      </c>
      <c r="B54" s="5" t="s">
        <v>518</v>
      </c>
      <c r="C54" s="5" t="s">
        <v>2546</v>
      </c>
      <c r="D54" s="5"/>
      <c r="E54" s="5"/>
      <c r="F54" s="5"/>
      <c r="G54" s="5"/>
      <c r="H54" s="5"/>
      <c r="I54" s="5"/>
      <c r="J54" s="5"/>
    </row>
    <row r="55" customFormat="false" ht="18" hidden="false" customHeight="true" outlineLevel="0" collapsed="false">
      <c r="A55" s="119" t="s">
        <v>2547</v>
      </c>
      <c r="B55" s="119"/>
      <c r="C55" s="119"/>
      <c r="D55" s="5"/>
      <c r="E55" s="5"/>
      <c r="F55" s="5"/>
      <c r="G55" s="5"/>
      <c r="H55" s="5"/>
      <c r="I55" s="5"/>
      <c r="J55" s="5"/>
    </row>
    <row r="56" customFormat="false" ht="12.75" hidden="false" customHeight="true" outlineLevel="0" collapsed="false">
      <c r="A56" s="5" t="s">
        <v>2548</v>
      </c>
      <c r="B56" s="5"/>
      <c r="C56" s="5"/>
      <c r="D56" s="5"/>
      <c r="E56" s="5"/>
      <c r="F56" s="5"/>
      <c r="G56" s="5"/>
      <c r="H56" s="5"/>
      <c r="I56" s="5"/>
      <c r="J56" s="5"/>
    </row>
    <row r="57" customFormat="false" ht="12.75" hidden="false" customHeight="true" outlineLevel="0" collapsed="false">
      <c r="A57" s="5" t="s">
        <v>1</v>
      </c>
      <c r="B57" s="5"/>
      <c r="C57" s="5"/>
      <c r="D57" s="5"/>
      <c r="E57" s="5"/>
      <c r="F57" s="5"/>
      <c r="G57" s="5"/>
      <c r="H57" s="5"/>
      <c r="I57" s="5"/>
      <c r="J57" s="5"/>
    </row>
    <row r="58" customFormat="false" ht="12.75" hidden="false" customHeight="true" outlineLevel="0" collapsed="false">
      <c r="A58" s="5" t="s">
        <v>2549</v>
      </c>
      <c r="B58" s="5"/>
      <c r="C58" s="5"/>
      <c r="D58" s="5"/>
      <c r="E58" s="5"/>
      <c r="F58" s="5"/>
      <c r="G58" s="5"/>
      <c r="H58" s="5"/>
      <c r="I58" s="5"/>
      <c r="J58" s="5"/>
    </row>
    <row r="59" customFormat="false" ht="12.75" hidden="false" customHeight="true" outlineLevel="0" collapsed="false">
      <c r="A59" s="5" t="s">
        <v>2550</v>
      </c>
      <c r="B59" s="5"/>
      <c r="C59" s="5"/>
      <c r="D59" s="5"/>
      <c r="E59" s="5"/>
      <c r="F59" s="5"/>
      <c r="G59" s="5"/>
      <c r="H59" s="5"/>
      <c r="I59" s="5"/>
      <c r="J59" s="5"/>
    </row>
    <row r="60" customFormat="false" ht="12.75" hidden="false" customHeight="true" outlineLevel="0" collapsed="false">
      <c r="A60" s="5" t="s">
        <v>2551</v>
      </c>
      <c r="B60" s="5"/>
      <c r="C60" s="5"/>
      <c r="D60" s="5"/>
      <c r="E60" s="5"/>
      <c r="F60" s="5"/>
      <c r="G60" s="5"/>
      <c r="H60" s="5"/>
      <c r="I60" s="5"/>
      <c r="J60" s="5"/>
    </row>
    <row r="61" customFormat="false" ht="66" hidden="false" customHeight="true" outlineLevel="0" collapsed="false">
      <c r="A61" s="22" t="s">
        <v>2552</v>
      </c>
      <c r="B61" s="22"/>
      <c r="C61" s="22"/>
      <c r="D61" s="5"/>
      <c r="E61" s="5"/>
      <c r="F61" s="5"/>
      <c r="G61" s="5"/>
      <c r="H61" s="5"/>
      <c r="I61" s="5"/>
      <c r="J61" s="5"/>
    </row>
    <row r="62" customFormat="false" ht="26.25" hidden="false" customHeight="true" outlineLevel="0" collapsed="false">
      <c r="A62" s="22" t="s">
        <v>2553</v>
      </c>
      <c r="B62" s="22"/>
      <c r="C62" s="22"/>
      <c r="D62" s="5"/>
      <c r="E62" s="5"/>
      <c r="F62" s="5"/>
      <c r="G62" s="5"/>
      <c r="H62" s="5"/>
      <c r="I62" s="5"/>
      <c r="J62" s="5"/>
    </row>
    <row r="63" customFormat="false" ht="39" hidden="false" customHeight="true" outlineLevel="0" collapsed="false">
      <c r="A63" s="22" t="s">
        <v>2554</v>
      </c>
      <c r="B63" s="22"/>
      <c r="C63" s="22"/>
      <c r="D63" s="5"/>
      <c r="E63" s="5"/>
      <c r="F63" s="5"/>
      <c r="G63" s="5"/>
      <c r="H63" s="5"/>
      <c r="I63" s="5"/>
      <c r="J63" s="5"/>
    </row>
    <row r="64" customFormat="false" ht="39" hidden="false" customHeight="true" outlineLevel="0" collapsed="false">
      <c r="A64" s="22" t="s">
        <v>2555</v>
      </c>
      <c r="B64" s="22"/>
      <c r="C64" s="22"/>
      <c r="D64" s="5"/>
      <c r="E64" s="5"/>
      <c r="F64" s="5"/>
      <c r="G64" s="5"/>
      <c r="H64" s="5"/>
      <c r="I64" s="5"/>
      <c r="J64" s="5"/>
    </row>
    <row r="65" customFormat="false" ht="26.25" hidden="false" customHeight="true" outlineLevel="0" collapsed="false">
      <c r="A65" s="22" t="s">
        <v>2556</v>
      </c>
      <c r="B65" s="22"/>
      <c r="C65" s="22"/>
      <c r="D65" s="5"/>
      <c r="E65" s="5"/>
      <c r="F65" s="5"/>
      <c r="G65" s="5"/>
      <c r="H65" s="5"/>
      <c r="I65" s="5"/>
      <c r="J65" s="5"/>
    </row>
    <row r="66" customFormat="false" ht="12.75" hidden="false" customHeight="true" outlineLevel="0" collapsed="false">
      <c r="A66" s="22" t="s">
        <v>2557</v>
      </c>
      <c r="B66" s="22"/>
      <c r="C66" s="22"/>
      <c r="D66" s="5"/>
      <c r="E66" s="5"/>
      <c r="F66" s="5"/>
      <c r="G66" s="5"/>
      <c r="H66" s="5"/>
      <c r="I66" s="5"/>
      <c r="J66" s="5"/>
    </row>
    <row r="67" customFormat="false" ht="12.75" hidden="false" customHeight="true" outlineLevel="0" collapsed="false">
      <c r="A67" s="22" t="s">
        <v>2558</v>
      </c>
      <c r="B67" s="22"/>
      <c r="C67" s="22"/>
      <c r="D67" s="5"/>
      <c r="E67" s="5"/>
      <c r="F67" s="5"/>
      <c r="G67" s="5"/>
      <c r="H67" s="5"/>
      <c r="I67" s="5"/>
      <c r="J67" s="5"/>
    </row>
    <row r="68" customFormat="false" ht="92.25" hidden="false" customHeight="true" outlineLevel="0" collapsed="false">
      <c r="A68" s="22" t="s">
        <v>2559</v>
      </c>
      <c r="B68" s="22"/>
      <c r="C68" s="22"/>
      <c r="D68" s="5"/>
      <c r="E68" s="5"/>
      <c r="F68" s="5"/>
      <c r="G68" s="5"/>
      <c r="H68" s="5"/>
      <c r="I68" s="5"/>
      <c r="J68" s="5"/>
    </row>
    <row r="69" customFormat="false" ht="144.75" hidden="false" customHeight="true" outlineLevel="0" collapsed="false">
      <c r="A69" s="22" t="s">
        <v>2560</v>
      </c>
      <c r="B69" s="22"/>
      <c r="C69" s="22"/>
      <c r="D69" s="5"/>
      <c r="E69" s="5"/>
      <c r="F69" s="5"/>
      <c r="G69" s="5"/>
      <c r="H69" s="5"/>
      <c r="I69" s="5"/>
      <c r="J69" s="5"/>
    </row>
    <row r="70" customFormat="false" ht="52.5" hidden="false" customHeight="true" outlineLevel="0" collapsed="false">
      <c r="A70" s="22" t="s">
        <v>2561</v>
      </c>
      <c r="B70" s="22"/>
      <c r="C70" s="22"/>
      <c r="D70" s="5"/>
      <c r="E70" s="5"/>
      <c r="F70" s="5"/>
      <c r="G70" s="5"/>
      <c r="H70" s="5"/>
      <c r="I70" s="5"/>
      <c r="J70" s="5"/>
    </row>
    <row r="71" customFormat="false" ht="78.75" hidden="false" customHeight="true" outlineLevel="0" collapsed="false">
      <c r="A71" s="22" t="s">
        <v>2562</v>
      </c>
      <c r="B71" s="22"/>
      <c r="C71" s="22"/>
      <c r="D71" s="5"/>
      <c r="E71" s="5"/>
      <c r="F71" s="5"/>
      <c r="G71" s="5"/>
      <c r="H71" s="5"/>
      <c r="I71" s="5"/>
      <c r="J71" s="5"/>
    </row>
    <row r="72" customFormat="false" ht="12.75" hidden="false" customHeight="false" outlineLevel="0" collapsed="false">
      <c r="A72" s="1" t="s">
        <v>2563</v>
      </c>
    </row>
  </sheetData>
  <mergeCells count="1">
    <mergeCell ref="A1:J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5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6796875" defaultRowHeight="12.75" customHeight="true" zeroHeight="false" outlineLevelRow="0" outlineLevelCol="0"/>
  <cols>
    <col collapsed="false" customWidth="true" hidden="false" outlineLevel="0" max="1" min="1" style="1" width="36"/>
    <col collapsed="false" customWidth="true" hidden="false" outlineLevel="0" max="2" min="2" style="2" width="36"/>
    <col collapsed="false" customWidth="true" hidden="false" outlineLevel="0" max="4" min="3" style="1" width="36"/>
    <col collapsed="false" customWidth="true" hidden="false" outlineLevel="0" max="10" min="5" style="2" width="10"/>
  </cols>
  <sheetData>
    <row r="1" customFormat="false" ht="12.75" hidden="false" customHeight="true" outlineLevel="0" collapsed="false">
      <c r="A1" s="3" t="s">
        <v>2564</v>
      </c>
      <c r="B1" s="3"/>
      <c r="C1" s="3"/>
      <c r="D1" s="3"/>
      <c r="E1" s="3"/>
      <c r="F1" s="3"/>
      <c r="G1" s="3"/>
      <c r="H1" s="3"/>
      <c r="I1" s="3"/>
      <c r="J1" s="3"/>
    </row>
    <row r="2" customFormat="false" ht="12.75" hidden="false" customHeight="true" outlineLevel="0" collapsed="false">
      <c r="A2" s="120" t="s">
        <v>4</v>
      </c>
      <c r="B2" s="121"/>
      <c r="C2" s="121"/>
      <c r="D2" s="121"/>
      <c r="E2" s="5"/>
      <c r="F2" s="5"/>
      <c r="G2" s="5"/>
      <c r="H2" s="5"/>
      <c r="I2" s="5"/>
      <c r="J2" s="5"/>
    </row>
    <row r="3" customFormat="false" ht="12.75" hidden="false" customHeight="true" outlineLevel="0" collapsed="false">
      <c r="A3" s="122" t="s">
        <v>2565</v>
      </c>
      <c r="B3" s="121"/>
      <c r="C3" s="121"/>
      <c r="D3" s="121"/>
      <c r="E3" s="5"/>
      <c r="F3" s="5"/>
      <c r="G3" s="5"/>
      <c r="H3" s="5"/>
      <c r="I3" s="5"/>
      <c r="J3" s="5"/>
    </row>
    <row r="4" customFormat="false" ht="12.75" hidden="false" customHeight="true" outlineLevel="0" collapsed="false">
      <c r="A4" s="7" t="s">
        <v>710</v>
      </c>
      <c r="B4" s="5" t="s">
        <v>8</v>
      </c>
      <c r="C4" s="5"/>
      <c r="D4" s="5"/>
      <c r="E4" s="5"/>
      <c r="F4" s="5"/>
      <c r="G4" s="5"/>
      <c r="H4" s="5"/>
      <c r="I4" s="5"/>
      <c r="J4" s="5"/>
    </row>
    <row r="5" customFormat="false" ht="12.75" hidden="false" customHeight="true" outlineLevel="0" collapsed="false">
      <c r="A5" s="7" t="s">
        <v>711</v>
      </c>
      <c r="B5" s="5" t="s">
        <v>128</v>
      </c>
      <c r="C5" s="5"/>
      <c r="D5" s="5"/>
      <c r="E5" s="5"/>
      <c r="F5" s="5"/>
      <c r="G5" s="5"/>
      <c r="H5" s="5"/>
      <c r="I5" s="5"/>
      <c r="J5" s="5"/>
    </row>
    <row r="6" customFormat="false" ht="12.75" hidden="false" customHeight="true" outlineLevel="0" collapsed="false">
      <c r="A6" s="7" t="s">
        <v>2566</v>
      </c>
      <c r="B6" s="5" t="s">
        <v>2567</v>
      </c>
      <c r="C6" s="5"/>
      <c r="D6" s="5"/>
      <c r="E6" s="5"/>
      <c r="F6" s="5"/>
      <c r="G6" s="5"/>
      <c r="H6" s="5"/>
      <c r="I6" s="5"/>
      <c r="J6" s="5"/>
    </row>
    <row r="7" customFormat="false" ht="12.75" hidden="false" customHeight="true" outlineLevel="0" collapsed="false">
      <c r="A7" s="7" t="s">
        <v>2568</v>
      </c>
      <c r="B7" s="5" t="s">
        <v>2569</v>
      </c>
      <c r="C7" s="5"/>
      <c r="D7" s="5"/>
      <c r="E7" s="5"/>
      <c r="F7" s="5"/>
      <c r="G7" s="5"/>
      <c r="H7" s="5"/>
      <c r="I7" s="5"/>
      <c r="J7" s="5"/>
    </row>
    <row r="8" customFormat="false" ht="12.75" hidden="false" customHeight="true" outlineLevel="0" collapsed="false">
      <c r="A8" s="7" t="s">
        <v>2570</v>
      </c>
      <c r="B8" s="7" t="s">
        <v>2571</v>
      </c>
      <c r="C8" s="7" t="s">
        <v>2572</v>
      </c>
      <c r="D8" s="5"/>
      <c r="E8" s="5"/>
      <c r="F8" s="5"/>
      <c r="G8" s="5"/>
      <c r="H8" s="5"/>
      <c r="I8" s="5"/>
      <c r="J8" s="5"/>
    </row>
    <row r="9" customFormat="false" ht="12.75" hidden="false" customHeight="true" outlineLevel="0" collapsed="false">
      <c r="A9" s="23" t="s">
        <v>2573</v>
      </c>
      <c r="B9" s="5"/>
      <c r="C9" s="5"/>
      <c r="D9" s="5"/>
      <c r="E9" s="5"/>
      <c r="F9" s="5"/>
      <c r="G9" s="5"/>
      <c r="H9" s="5"/>
      <c r="I9" s="5"/>
      <c r="J9" s="5"/>
    </row>
    <row r="10" customFormat="false" ht="12.75" hidden="false" customHeight="true" outlineLevel="0" collapsed="false">
      <c r="A10" s="23" t="s">
        <v>2574</v>
      </c>
      <c r="B10" s="23" t="s">
        <v>1907</v>
      </c>
      <c r="C10" s="23" t="s">
        <v>2575</v>
      </c>
      <c r="D10" s="5" t="s">
        <v>2576</v>
      </c>
      <c r="E10" s="5"/>
      <c r="F10" s="5"/>
      <c r="G10" s="5"/>
      <c r="H10" s="5"/>
      <c r="I10" s="5"/>
      <c r="J10" s="5"/>
    </row>
    <row r="11" customFormat="false" ht="12.75" hidden="false" customHeight="true" outlineLevel="0" collapsed="false">
      <c r="A11" s="7" t="s">
        <v>4</v>
      </c>
      <c r="B11" s="7" t="s">
        <v>2567</v>
      </c>
      <c r="C11" s="7" t="s">
        <v>2577</v>
      </c>
      <c r="D11" s="5" t="s">
        <v>2578</v>
      </c>
      <c r="E11" s="5"/>
      <c r="F11" s="5"/>
      <c r="G11" s="5"/>
      <c r="H11" s="5"/>
      <c r="I11" s="5"/>
      <c r="J11" s="5"/>
    </row>
    <row r="12" customFormat="false" ht="12.75" hidden="false" customHeight="true" outlineLevel="0" collapsed="false">
      <c r="A12" s="7" t="s">
        <v>2579</v>
      </c>
      <c r="B12" s="7" t="s">
        <v>2580</v>
      </c>
      <c r="C12" s="7" t="s">
        <v>2581</v>
      </c>
      <c r="D12" s="5"/>
      <c r="E12" s="5"/>
      <c r="F12" s="5"/>
      <c r="G12" s="5"/>
      <c r="H12" s="5"/>
      <c r="I12" s="5"/>
      <c r="J12" s="5"/>
    </row>
    <row r="13" customFormat="false" ht="12.75" hidden="false" customHeight="true" outlineLevel="0" collapsed="false">
      <c r="A13" s="7" t="s">
        <v>2582</v>
      </c>
      <c r="B13" s="7" t="s">
        <v>2583</v>
      </c>
      <c r="C13" s="7" t="s">
        <v>2584</v>
      </c>
      <c r="D13" s="7" t="s">
        <v>2585</v>
      </c>
      <c r="E13" s="5"/>
      <c r="F13" s="5"/>
      <c r="G13" s="5"/>
      <c r="H13" s="5"/>
      <c r="I13" s="5"/>
      <c r="J13" s="5"/>
    </row>
    <row r="14" customFormat="false" ht="12.75" hidden="false" customHeight="true" outlineLevel="0" collapsed="false">
      <c r="A14" s="7" t="s">
        <v>2586</v>
      </c>
      <c r="B14" s="7" t="s">
        <v>2587</v>
      </c>
      <c r="C14" s="7" t="s">
        <v>2588</v>
      </c>
      <c r="D14" s="7" t="s">
        <v>2589</v>
      </c>
      <c r="E14" s="5"/>
      <c r="F14" s="5"/>
      <c r="G14" s="5"/>
      <c r="H14" s="5"/>
      <c r="I14" s="5"/>
      <c r="J14" s="5"/>
    </row>
    <row r="15" customFormat="false" ht="12.75" hidden="false" customHeight="true" outlineLevel="0" collapsed="false">
      <c r="A15" s="123" t="s">
        <v>2590</v>
      </c>
      <c r="B15" s="7" t="s">
        <v>2591</v>
      </c>
      <c r="C15" s="7" t="s">
        <v>2592</v>
      </c>
      <c r="D15" s="7" t="s">
        <v>2589</v>
      </c>
      <c r="E15" s="5"/>
      <c r="F15" s="5"/>
      <c r="G15" s="5"/>
      <c r="H15" s="5"/>
      <c r="I15" s="5"/>
      <c r="J15" s="5"/>
    </row>
    <row r="16" customFormat="false" ht="12.75" hidden="false" customHeight="true" outlineLevel="0" collapsed="false">
      <c r="A16" s="124" t="s">
        <v>42</v>
      </c>
      <c r="B16" s="23" t="s">
        <v>2593</v>
      </c>
      <c r="C16" s="23" t="s">
        <v>2594</v>
      </c>
      <c r="D16" s="5" t="s">
        <v>2595</v>
      </c>
      <c r="E16" s="5"/>
      <c r="F16" s="5"/>
      <c r="G16" s="5"/>
      <c r="H16" s="5"/>
      <c r="I16" s="5"/>
      <c r="J16" s="5"/>
    </row>
    <row r="17" customFormat="false" ht="12.75" hidden="false" customHeight="true" outlineLevel="0" collapsed="false">
      <c r="A17" s="7"/>
      <c r="B17" s="7"/>
      <c r="C17" s="7"/>
      <c r="D17" s="7"/>
      <c r="E17" s="5"/>
      <c r="F17" s="5"/>
      <c r="G17" s="5"/>
      <c r="H17" s="5"/>
      <c r="I17" s="5"/>
      <c r="J17" s="5"/>
    </row>
    <row r="18" customFormat="false" ht="12.75" hidden="false" customHeight="true" outlineLevel="0" collapsed="false">
      <c r="A18" s="7"/>
      <c r="B18" s="7"/>
      <c r="C18" s="7"/>
      <c r="D18" s="7"/>
      <c r="E18" s="5"/>
      <c r="F18" s="5"/>
      <c r="G18" s="5"/>
      <c r="H18" s="5"/>
      <c r="I18" s="5"/>
      <c r="J18" s="5"/>
    </row>
    <row r="19" customFormat="false" ht="12.75" hidden="false" customHeight="true" outlineLevel="0" collapsed="false">
      <c r="A19" s="7" t="s">
        <v>2596</v>
      </c>
      <c r="B19" s="7" t="s">
        <v>2597</v>
      </c>
      <c r="C19" s="7" t="s">
        <v>2598</v>
      </c>
      <c r="D19" s="7" t="s">
        <v>2589</v>
      </c>
      <c r="E19" s="5"/>
      <c r="F19" s="5"/>
      <c r="G19" s="5"/>
      <c r="H19" s="5"/>
      <c r="I19" s="5"/>
      <c r="J19" s="5"/>
    </row>
    <row r="20" customFormat="false" ht="12.75" hidden="false" customHeight="true" outlineLevel="0" collapsed="false">
      <c r="A20" s="7" t="s">
        <v>2599</v>
      </c>
      <c r="B20" s="7" t="s">
        <v>2597</v>
      </c>
      <c r="C20" s="7" t="s">
        <v>2600</v>
      </c>
      <c r="D20" s="7" t="s">
        <v>2589</v>
      </c>
      <c r="E20" s="5"/>
      <c r="F20" s="5"/>
      <c r="G20" s="5"/>
      <c r="H20" s="5"/>
      <c r="I20" s="5"/>
      <c r="J20" s="5"/>
    </row>
    <row r="21" customFormat="false" ht="12.75" hidden="false" customHeight="true" outlineLevel="0" collapsed="false">
      <c r="A21" s="7" t="s">
        <v>4</v>
      </c>
      <c r="B21" s="7" t="s">
        <v>2601</v>
      </c>
      <c r="C21" s="7" t="s">
        <v>2602</v>
      </c>
      <c r="D21" s="7" t="s">
        <v>2578</v>
      </c>
      <c r="E21" s="5"/>
      <c r="F21" s="5"/>
      <c r="G21" s="5"/>
      <c r="H21" s="5"/>
      <c r="I21" s="5"/>
      <c r="J21" s="5"/>
    </row>
    <row r="22" customFormat="false" ht="14.25" hidden="false" customHeight="true" outlineLevel="0" collapsed="false">
      <c r="A22" s="36" t="s">
        <v>2603</v>
      </c>
      <c r="B22" s="36" t="s">
        <v>2597</v>
      </c>
      <c r="C22" s="36" t="s">
        <v>2604</v>
      </c>
      <c r="D22" s="36" t="s">
        <v>2589</v>
      </c>
      <c r="E22" s="5"/>
      <c r="F22" s="5"/>
      <c r="G22" s="5"/>
      <c r="H22" s="5"/>
      <c r="I22" s="5"/>
      <c r="J22" s="5"/>
    </row>
    <row r="23" customFormat="false" ht="14.25" hidden="false" customHeight="true" outlineLevel="0" collapsed="false">
      <c r="A23" s="37" t="s">
        <v>2605</v>
      </c>
      <c r="B23" s="50" t="s">
        <v>1908</v>
      </c>
      <c r="C23" s="36" t="s">
        <v>2606</v>
      </c>
      <c r="D23" s="5"/>
      <c r="E23" s="5"/>
      <c r="F23" s="5"/>
      <c r="G23" s="5"/>
      <c r="H23" s="5"/>
      <c r="I23" s="5"/>
      <c r="J23" s="5"/>
    </row>
    <row r="24" customFormat="false" ht="14.25" hidden="false" customHeight="true" outlineLevel="0" collapsed="false">
      <c r="A24" s="37" t="s">
        <v>2607</v>
      </c>
      <c r="B24" s="125" t="s">
        <v>2608</v>
      </c>
      <c r="C24" s="36" t="s">
        <v>2609</v>
      </c>
      <c r="D24" s="5"/>
      <c r="E24" s="5"/>
      <c r="F24" s="5"/>
      <c r="G24" s="5"/>
      <c r="H24" s="5"/>
      <c r="I24" s="5"/>
      <c r="J24" s="5"/>
    </row>
    <row r="25" customFormat="false" ht="14.25" hidden="false" customHeight="true" outlineLevel="0" collapsed="false">
      <c r="A25" s="36" t="s">
        <v>2610</v>
      </c>
      <c r="B25" s="50" t="s">
        <v>2608</v>
      </c>
      <c r="C25" s="36" t="s">
        <v>2611</v>
      </c>
      <c r="D25" s="5"/>
      <c r="E25" s="5"/>
      <c r="F25" s="5"/>
      <c r="G25" s="5"/>
      <c r="H25" s="5"/>
      <c r="I25" s="5"/>
      <c r="J25" s="5"/>
    </row>
    <row r="26" customFormat="false" ht="14.25" hidden="false" customHeight="true" outlineLevel="0" collapsed="false">
      <c r="A26" s="36" t="s">
        <v>2612</v>
      </c>
      <c r="B26" s="50" t="s">
        <v>1908</v>
      </c>
      <c r="C26" s="36" t="s">
        <v>2613</v>
      </c>
      <c r="D26" s="5"/>
      <c r="E26" s="5"/>
      <c r="F26" s="5"/>
      <c r="G26" s="5"/>
      <c r="H26" s="5"/>
      <c r="I26" s="5"/>
      <c r="J26" s="5"/>
    </row>
    <row r="27" customFormat="false" ht="14.25" hidden="false" customHeight="true" outlineLevel="0" collapsed="false">
      <c r="A27" s="36" t="s">
        <v>2614</v>
      </c>
      <c r="B27" s="50" t="s">
        <v>1908</v>
      </c>
      <c r="C27" s="36" t="s">
        <v>2615</v>
      </c>
      <c r="D27" s="5"/>
      <c r="E27" s="5"/>
      <c r="F27" s="5"/>
      <c r="G27" s="5"/>
      <c r="H27" s="5"/>
      <c r="I27" s="5"/>
      <c r="J27" s="5"/>
    </row>
    <row r="28" customFormat="false" ht="14.25" hidden="false" customHeight="true" outlineLevel="0" collapsed="false">
      <c r="A28" s="36" t="s">
        <v>2616</v>
      </c>
      <c r="B28" s="50" t="str">
        <f aca="false">"✓ PASS ("&amp;CANON!B41&amp;"/"&amp;CANON!B41&amp;")"</f>
        <v>✓ PASS (5/5)</v>
      </c>
      <c r="C28" s="5"/>
      <c r="D28" s="5"/>
      <c r="E28" s="5"/>
      <c r="F28" s="5"/>
      <c r="G28" s="5"/>
      <c r="H28" s="5"/>
      <c r="I28" s="5"/>
      <c r="J28" s="5"/>
    </row>
    <row r="29" customFormat="false" ht="14.25" hidden="false" customHeight="true" outlineLevel="0" collapsed="false">
      <c r="A29" s="36" t="s">
        <v>2617</v>
      </c>
      <c r="B29" s="50" t="s">
        <v>446</v>
      </c>
      <c r="C29" s="5"/>
      <c r="D29" s="5"/>
      <c r="E29" s="5"/>
      <c r="F29" s="5"/>
      <c r="G29" s="5"/>
      <c r="H29" s="5"/>
      <c r="I29" s="5"/>
      <c r="J29" s="5"/>
    </row>
    <row r="30" customFormat="false" ht="13.5" hidden="false" customHeight="true" outlineLevel="0" collapsed="false">
      <c r="A30" s="36" t="s">
        <v>388</v>
      </c>
      <c r="B30" s="50" t="s">
        <v>2618</v>
      </c>
      <c r="C30" s="5"/>
      <c r="D30" s="5"/>
      <c r="E30" s="5"/>
      <c r="F30" s="5"/>
      <c r="G30" s="5"/>
      <c r="H30" s="5"/>
      <c r="I30" s="5"/>
      <c r="J30" s="5"/>
    </row>
    <row r="31" customFormat="false" ht="14.25" hidden="false" customHeight="true" outlineLevel="0" collapsed="false">
      <c r="A31" s="36" t="s">
        <v>2518</v>
      </c>
      <c r="B31" s="50" t="s">
        <v>2619</v>
      </c>
      <c r="C31" s="5"/>
      <c r="D31" s="5"/>
      <c r="E31" s="5"/>
      <c r="F31" s="5"/>
      <c r="G31" s="5"/>
      <c r="H31" s="5"/>
      <c r="I31" s="5"/>
      <c r="J31" s="5"/>
    </row>
    <row r="32" customFormat="false" ht="14.25" hidden="false" customHeight="true" outlineLevel="0" collapsed="false">
      <c r="A32" s="36" t="s">
        <v>548</v>
      </c>
      <c r="B32" s="50" t="s">
        <v>2620</v>
      </c>
      <c r="C32" s="5"/>
      <c r="D32" s="5"/>
      <c r="E32" s="5"/>
      <c r="F32" s="5"/>
      <c r="G32" s="5"/>
      <c r="H32" s="5"/>
      <c r="I32" s="5"/>
      <c r="J32" s="5"/>
    </row>
    <row r="33" customFormat="false" ht="14.25" hidden="false" customHeight="true" outlineLevel="0" collapsed="false">
      <c r="A33" s="36" t="s">
        <v>2621</v>
      </c>
      <c r="B33" s="36" t="s">
        <v>2622</v>
      </c>
      <c r="C33" s="5"/>
      <c r="D33" s="5"/>
      <c r="E33" s="5"/>
      <c r="F33" s="5"/>
      <c r="G33" s="5"/>
      <c r="H33" s="5"/>
      <c r="I33" s="5"/>
      <c r="J33" s="5"/>
    </row>
    <row r="34" customFormat="false" ht="14.25" hidden="false" customHeight="true" outlineLevel="0" collapsed="false">
      <c r="A34" s="37" t="s">
        <v>2623</v>
      </c>
      <c r="B34" s="37" t="s">
        <v>2624</v>
      </c>
      <c r="C34" s="5"/>
      <c r="D34" s="5"/>
      <c r="E34" s="5"/>
      <c r="F34" s="5"/>
      <c r="G34" s="5"/>
      <c r="H34" s="5"/>
      <c r="I34" s="5"/>
      <c r="J34" s="5"/>
    </row>
    <row r="35" customFormat="false" ht="14.25" hidden="false" customHeight="true" outlineLevel="0" collapsed="false">
      <c r="A35" s="36" t="s">
        <v>2625</v>
      </c>
      <c r="B35" s="36" t="s">
        <v>2571</v>
      </c>
      <c r="C35" s="36" t="s">
        <v>2626</v>
      </c>
      <c r="D35" s="5"/>
      <c r="E35" s="5"/>
      <c r="F35" s="5"/>
      <c r="G35" s="5"/>
      <c r="H35" s="5"/>
      <c r="I35" s="5"/>
      <c r="J35" s="5"/>
    </row>
    <row r="36" customFormat="false" ht="14.25" hidden="false" customHeight="true" outlineLevel="0" collapsed="false">
      <c r="A36" s="36" t="s">
        <v>2625</v>
      </c>
      <c r="B36" s="36" t="s">
        <v>2571</v>
      </c>
      <c r="C36" s="36" t="s">
        <v>2627</v>
      </c>
      <c r="D36" s="36" t="s">
        <v>2628</v>
      </c>
      <c r="E36" s="5"/>
      <c r="F36" s="5"/>
      <c r="G36" s="5"/>
      <c r="H36" s="5"/>
      <c r="I36" s="5"/>
      <c r="J36" s="5"/>
    </row>
    <row r="37" customFormat="false" ht="14.25" hidden="false" customHeight="true" outlineLevel="0" collapsed="false">
      <c r="A37" s="36" t="s">
        <v>2629</v>
      </c>
      <c r="B37" s="36" t="s">
        <v>2630</v>
      </c>
      <c r="C37" s="36" t="s">
        <v>2631</v>
      </c>
      <c r="D37" s="36" t="s">
        <v>2578</v>
      </c>
      <c r="E37" s="5"/>
      <c r="F37" s="5"/>
      <c r="G37" s="5"/>
      <c r="H37" s="5"/>
      <c r="I37" s="5"/>
      <c r="J37" s="5"/>
    </row>
    <row r="38" customFormat="false" ht="14.25" hidden="false" customHeight="true" outlineLevel="0" collapsed="false">
      <c r="A38" s="36" t="s">
        <v>2632</v>
      </c>
      <c r="B38" s="36" t="s">
        <v>2630</v>
      </c>
      <c r="C38" s="36" t="s">
        <v>2633</v>
      </c>
      <c r="D38" s="36" t="s">
        <v>2578</v>
      </c>
      <c r="E38" s="5"/>
      <c r="F38" s="5"/>
      <c r="G38" s="5"/>
      <c r="H38" s="5"/>
      <c r="I38" s="5"/>
      <c r="J38" s="5"/>
    </row>
    <row r="39" customFormat="false" ht="13.5" hidden="false" customHeight="true" outlineLevel="0" collapsed="false">
      <c r="A39" s="37" t="s">
        <v>2634</v>
      </c>
      <c r="B39" s="36" t="s">
        <v>2635</v>
      </c>
      <c r="C39" s="36" t="s">
        <v>2636</v>
      </c>
      <c r="D39" s="36" t="s">
        <v>2589</v>
      </c>
      <c r="E39" s="5"/>
      <c r="F39" s="5"/>
      <c r="G39" s="5"/>
      <c r="H39" s="5"/>
      <c r="I39" s="5"/>
      <c r="J39" s="5"/>
    </row>
    <row r="40" customFormat="false" ht="14.25" hidden="false" customHeight="true" outlineLevel="0" collapsed="false">
      <c r="A40" s="5"/>
      <c r="B40" s="5"/>
      <c r="C40" s="5"/>
      <c r="D40" s="5"/>
      <c r="E40" s="5"/>
      <c r="F40" s="5"/>
      <c r="G40" s="5"/>
      <c r="H40" s="5"/>
      <c r="I40" s="5"/>
      <c r="J40" s="5"/>
    </row>
    <row r="41" customFormat="false" ht="14.25" hidden="false" customHeight="true" outlineLevel="0" collapsed="false">
      <c r="A41" s="36" t="s">
        <v>2637</v>
      </c>
      <c r="B41" s="5"/>
      <c r="C41" s="5"/>
      <c r="D41" s="5"/>
      <c r="E41" s="5"/>
      <c r="F41" s="5"/>
      <c r="G41" s="5"/>
      <c r="H41" s="5"/>
      <c r="I41" s="5"/>
      <c r="J41" s="5"/>
    </row>
    <row r="42" customFormat="false" ht="14.25" hidden="false" customHeight="true" outlineLevel="0" collapsed="false">
      <c r="A42" s="36" t="s">
        <v>2638</v>
      </c>
      <c r="B42" s="5"/>
      <c r="C42" s="5"/>
      <c r="D42" s="5"/>
      <c r="E42" s="5"/>
      <c r="F42" s="5"/>
      <c r="G42" s="5"/>
      <c r="H42" s="5"/>
      <c r="I42" s="5"/>
      <c r="J42" s="5"/>
    </row>
    <row r="43" customFormat="false" ht="14.25" hidden="false" customHeight="true" outlineLevel="0" collapsed="false">
      <c r="A43" s="36" t="s">
        <v>2639</v>
      </c>
      <c r="B43" s="5"/>
      <c r="C43" s="5"/>
      <c r="D43" s="5"/>
      <c r="E43" s="5"/>
      <c r="F43" s="5"/>
      <c r="G43" s="5"/>
      <c r="H43" s="5"/>
      <c r="I43" s="5"/>
      <c r="J43" s="5"/>
    </row>
    <row r="44" customFormat="false" ht="14.25" hidden="false" customHeight="true" outlineLevel="0" collapsed="false">
      <c r="A44" s="36" t="s">
        <v>2640</v>
      </c>
      <c r="B44" s="5"/>
      <c r="C44" s="5"/>
      <c r="D44" s="5"/>
      <c r="E44" s="5"/>
      <c r="F44" s="5"/>
      <c r="G44" s="5"/>
      <c r="H44" s="5"/>
      <c r="I44" s="5"/>
      <c r="J44" s="5"/>
    </row>
    <row r="45" customFormat="false" ht="14.25" hidden="false" customHeight="true" outlineLevel="0" collapsed="false">
      <c r="A45" s="36" t="s">
        <v>2641</v>
      </c>
      <c r="B45" s="5"/>
      <c r="C45" s="5"/>
      <c r="D45" s="5"/>
      <c r="E45" s="5"/>
      <c r="F45" s="5"/>
      <c r="G45" s="5"/>
      <c r="H45" s="5"/>
      <c r="I45" s="5"/>
      <c r="J45" s="5"/>
    </row>
    <row r="46" customFormat="false" ht="13.5" hidden="false" customHeight="true" outlineLevel="0" collapsed="false">
      <c r="A46" s="36" t="s">
        <v>2642</v>
      </c>
      <c r="B46" s="5"/>
      <c r="C46" s="5"/>
      <c r="D46" s="5"/>
      <c r="E46" s="5"/>
      <c r="F46" s="5"/>
      <c r="G46" s="5"/>
      <c r="H46" s="5"/>
      <c r="I46" s="5"/>
      <c r="J46" s="5"/>
    </row>
    <row r="47" customFormat="false" ht="13.5" hidden="false" customHeight="true" outlineLevel="0" collapsed="false">
      <c r="A47" s="36" t="s">
        <v>2643</v>
      </c>
      <c r="B47" s="5"/>
      <c r="C47" s="5"/>
      <c r="D47" s="5"/>
      <c r="E47" s="5"/>
      <c r="F47" s="5"/>
      <c r="G47" s="5"/>
      <c r="H47" s="5"/>
      <c r="I47" s="5"/>
      <c r="J47" s="5"/>
    </row>
    <row r="48" customFormat="false" ht="13.5" hidden="false" customHeight="true" outlineLevel="0" collapsed="false">
      <c r="A48" s="37" t="s">
        <v>2644</v>
      </c>
      <c r="B48" s="5"/>
      <c r="C48" s="5"/>
      <c r="D48" s="5"/>
      <c r="E48" s="5"/>
      <c r="F48" s="5"/>
      <c r="G48" s="5"/>
      <c r="H48" s="5"/>
      <c r="I48" s="5"/>
      <c r="J48" s="5"/>
    </row>
    <row r="49" customFormat="false" ht="13.5" hidden="false" customHeight="true" outlineLevel="0" collapsed="false">
      <c r="A49" s="5"/>
      <c r="B49" s="5"/>
      <c r="C49" s="5"/>
      <c r="D49" s="5"/>
      <c r="E49" s="5"/>
      <c r="F49" s="5"/>
      <c r="G49" s="5"/>
      <c r="H49" s="5"/>
      <c r="I49" s="5"/>
      <c r="J49" s="5"/>
    </row>
    <row r="50" customFormat="false" ht="13.5" hidden="false" customHeight="true" outlineLevel="0" collapsed="false">
      <c r="A50" s="36" t="s">
        <v>2645</v>
      </c>
      <c r="B50" s="5"/>
      <c r="C50" s="5"/>
      <c r="D50" s="5"/>
      <c r="E50" s="5"/>
      <c r="F50" s="5"/>
      <c r="G50" s="5"/>
      <c r="H50" s="5"/>
      <c r="I50" s="5"/>
      <c r="J50" s="5"/>
    </row>
    <row r="51" customFormat="false" ht="13.5" hidden="false" customHeight="true" outlineLevel="0" collapsed="false">
      <c r="A51" s="36" t="s">
        <v>2646</v>
      </c>
      <c r="B51" s="5"/>
      <c r="C51" s="5"/>
      <c r="D51" s="5"/>
      <c r="E51" s="5"/>
      <c r="F51" s="5"/>
      <c r="G51" s="5"/>
      <c r="H51" s="5"/>
      <c r="I51" s="5"/>
      <c r="J51" s="5"/>
    </row>
    <row r="52" customFormat="false" ht="14.25" hidden="false" customHeight="true" outlineLevel="0" collapsed="false">
      <c r="A52" s="36" t="s">
        <v>2647</v>
      </c>
      <c r="B52" s="5"/>
      <c r="C52" s="5"/>
      <c r="D52" s="5"/>
      <c r="E52" s="5"/>
      <c r="F52" s="5"/>
      <c r="G52" s="5"/>
      <c r="H52" s="5"/>
      <c r="I52" s="5"/>
      <c r="J52" s="5"/>
    </row>
    <row r="53" customFormat="false" ht="14.25" hidden="false" customHeight="true" outlineLevel="0" collapsed="false">
      <c r="A53" s="36" t="s">
        <v>2648</v>
      </c>
      <c r="B53" s="5"/>
      <c r="C53" s="5"/>
      <c r="D53" s="5"/>
      <c r="E53" s="5"/>
      <c r="F53" s="5"/>
      <c r="G53" s="5"/>
      <c r="H53" s="5"/>
      <c r="I53" s="5"/>
      <c r="J53" s="5"/>
    </row>
    <row r="54" customFormat="false" ht="14.25" hidden="false" customHeight="true" outlineLevel="0" collapsed="false">
      <c r="A54" s="36" t="s">
        <v>2649</v>
      </c>
      <c r="B54" s="5"/>
      <c r="C54" s="5"/>
      <c r="D54" s="5"/>
      <c r="E54" s="5"/>
      <c r="F54" s="5"/>
      <c r="G54" s="5"/>
      <c r="H54" s="5"/>
      <c r="I54" s="5"/>
      <c r="J54" s="5"/>
    </row>
    <row r="55" customFormat="false" ht="14.25" hidden="false" customHeight="true" outlineLevel="0" collapsed="false">
      <c r="A55" s="36" t="s">
        <v>2650</v>
      </c>
      <c r="B55" s="5"/>
      <c r="C55" s="5"/>
      <c r="D55" s="5"/>
      <c r="E55" s="5"/>
      <c r="F55" s="5"/>
      <c r="G55" s="5"/>
      <c r="H55" s="5"/>
      <c r="I55" s="5"/>
      <c r="J55" s="5"/>
    </row>
    <row r="56" customFormat="false" ht="14.25" hidden="false" customHeight="true" outlineLevel="0" collapsed="false">
      <c r="A56" s="36" t="s">
        <v>2651</v>
      </c>
      <c r="B56" s="36" t="s">
        <v>2652</v>
      </c>
      <c r="C56" s="5"/>
      <c r="D56" s="5"/>
      <c r="E56" s="5"/>
      <c r="F56" s="5"/>
      <c r="G56" s="5"/>
      <c r="H56" s="5"/>
      <c r="I56" s="5"/>
      <c r="J56" s="5"/>
    </row>
    <row r="57" customFormat="false" ht="27.75" hidden="false" customHeight="true" outlineLevel="0" collapsed="false">
      <c r="A57" s="36" t="s">
        <v>2653</v>
      </c>
      <c r="B57" s="36" t="s">
        <v>2654</v>
      </c>
      <c r="C57" s="5"/>
      <c r="D57" s="5"/>
      <c r="E57" s="5"/>
      <c r="F57" s="5"/>
      <c r="G57" s="5"/>
      <c r="H57" s="5"/>
      <c r="I57" s="5"/>
      <c r="J57" s="5"/>
    </row>
    <row r="58" customFormat="false" ht="12.75" hidden="false" customHeight="true" outlineLevel="0" collapsed="false">
      <c r="A58" s="22" t="s">
        <v>42</v>
      </c>
      <c r="B58" s="22" t="s">
        <v>2655</v>
      </c>
      <c r="C58" s="22" t="s">
        <v>2656</v>
      </c>
      <c r="D58" s="22" t="s">
        <v>2657</v>
      </c>
      <c r="E58" s="5"/>
      <c r="F58" s="5"/>
      <c r="G58" s="5"/>
      <c r="H58" s="5"/>
      <c r="I58" s="5"/>
      <c r="J58" s="5"/>
    </row>
    <row r="59" customFormat="false" ht="12.75" hidden="false" customHeight="true" outlineLevel="0" collapsed="false">
      <c r="A59" s="22" t="s">
        <v>4</v>
      </c>
      <c r="B59" s="22" t="s">
        <v>2658</v>
      </c>
      <c r="C59" s="22" t="s">
        <v>2659</v>
      </c>
      <c r="D59" s="22" t="s">
        <v>2585</v>
      </c>
      <c r="E59" s="5"/>
      <c r="F59" s="5"/>
      <c r="G59" s="5"/>
      <c r="H59" s="5"/>
      <c r="I59" s="5"/>
      <c r="J59" s="5"/>
    </row>
  </sheetData>
  <mergeCells count="1">
    <mergeCell ref="A1:J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6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3" min="1" style="1" width="36"/>
    <col collapsed="false" customWidth="true" hidden="false" outlineLevel="0" max="4" min="4" style="1" width="20"/>
    <col collapsed="false" customWidth="true" hidden="false" outlineLevel="0" max="5" min="5" style="1" width="36"/>
    <col collapsed="false" customWidth="true" hidden="false" outlineLevel="0" max="7" min="6" style="1" width="10"/>
  </cols>
  <sheetData>
    <row r="1" customFormat="false" ht="39" hidden="false" customHeight="true" outlineLevel="0" collapsed="false">
      <c r="A1" s="21" t="s">
        <v>2660</v>
      </c>
      <c r="B1" s="21"/>
      <c r="C1" s="21"/>
      <c r="D1" s="21"/>
      <c r="E1" s="21"/>
      <c r="F1" s="21"/>
      <c r="G1" s="21"/>
    </row>
    <row r="2" customFormat="false" ht="92.25" hidden="false" customHeight="true" outlineLevel="0" collapsed="false">
      <c r="A2" s="22" t="s">
        <v>2661</v>
      </c>
      <c r="B2" s="22"/>
      <c r="C2" s="22"/>
      <c r="D2" s="22"/>
      <c r="E2" s="22"/>
      <c r="F2" s="22"/>
      <c r="G2" s="22"/>
    </row>
    <row r="3" customFormat="false" ht="12.75" hidden="false" customHeight="true" outlineLevel="0" collapsed="false">
      <c r="A3" s="22"/>
      <c r="B3" s="22"/>
      <c r="C3" s="22"/>
      <c r="D3" s="22"/>
      <c r="E3" s="22"/>
      <c r="F3" s="22"/>
      <c r="G3" s="22"/>
    </row>
    <row r="4" customFormat="false" ht="26.25" hidden="false" customHeight="true" outlineLevel="0" collapsed="false">
      <c r="A4" s="126" t="s">
        <v>241</v>
      </c>
      <c r="B4" s="126" t="s">
        <v>2662</v>
      </c>
      <c r="C4" s="126" t="s">
        <v>2663</v>
      </c>
      <c r="D4" s="126" t="s">
        <v>2664</v>
      </c>
      <c r="E4" s="126" t="s">
        <v>2665</v>
      </c>
      <c r="F4" s="126" t="s">
        <v>2666</v>
      </c>
      <c r="G4" s="126" t="s">
        <v>979</v>
      </c>
    </row>
    <row r="5" customFormat="false" ht="12.75" hidden="false" customHeight="true" outlineLevel="0" collapsed="false">
      <c r="A5" s="22" t="s">
        <v>124</v>
      </c>
      <c r="B5" s="22" t="s">
        <v>606</v>
      </c>
      <c r="C5" s="22" t="s">
        <v>365</v>
      </c>
      <c r="D5" s="22" t="s">
        <v>15</v>
      </c>
      <c r="E5" s="22" t="s">
        <v>606</v>
      </c>
      <c r="F5" s="22" t="s">
        <v>2667</v>
      </c>
      <c r="G5" s="22"/>
    </row>
    <row r="6" customFormat="false" ht="12.75" hidden="false" customHeight="true" outlineLevel="0" collapsed="false">
      <c r="A6" s="22" t="s">
        <v>127</v>
      </c>
      <c r="B6" s="22" t="s">
        <v>128</v>
      </c>
      <c r="C6" s="22" t="s">
        <v>2668</v>
      </c>
      <c r="D6" s="22" t="s">
        <v>15</v>
      </c>
      <c r="E6" s="22" t="s">
        <v>128</v>
      </c>
      <c r="F6" s="22" t="s">
        <v>2667</v>
      </c>
      <c r="G6" s="22"/>
    </row>
    <row r="7" customFormat="false" ht="12.75" hidden="false" customHeight="true" outlineLevel="0" collapsed="false">
      <c r="A7" s="22" t="s">
        <v>301</v>
      </c>
      <c r="B7" s="22" t="s">
        <v>132</v>
      </c>
      <c r="C7" s="22" t="s">
        <v>470</v>
      </c>
      <c r="D7" s="22" t="s">
        <v>15</v>
      </c>
      <c r="E7" s="22" t="s">
        <v>132</v>
      </c>
      <c r="F7" s="22" t="s">
        <v>2667</v>
      </c>
      <c r="G7" s="22"/>
    </row>
    <row r="8" customFormat="false" ht="12.75" hidden="false" customHeight="true" outlineLevel="0" collapsed="false">
      <c r="A8" s="22" t="s">
        <v>302</v>
      </c>
      <c r="B8" s="22" t="s">
        <v>136</v>
      </c>
      <c r="C8" s="22" t="s">
        <v>473</v>
      </c>
      <c r="D8" s="22" t="s">
        <v>15</v>
      </c>
      <c r="E8" s="22" t="s">
        <v>136</v>
      </c>
      <c r="F8" s="22" t="s">
        <v>2667</v>
      </c>
      <c r="G8" s="22"/>
    </row>
    <row r="9" customFormat="false" ht="12.75" hidden="false" customHeight="true" outlineLevel="0" collapsed="false">
      <c r="A9" s="22" t="s">
        <v>2669</v>
      </c>
      <c r="B9" s="22" t="s">
        <v>4</v>
      </c>
      <c r="C9" s="22" t="s">
        <v>356</v>
      </c>
      <c r="D9" s="22" t="s">
        <v>15</v>
      </c>
      <c r="E9" s="22" t="s">
        <v>4</v>
      </c>
      <c r="F9" s="22" t="s">
        <v>2667</v>
      </c>
      <c r="G9" s="22"/>
    </row>
    <row r="10" customFormat="false" ht="12.75" hidden="false" customHeight="true" outlineLevel="0" collapsed="false">
      <c r="A10" s="22" t="s">
        <v>2670</v>
      </c>
      <c r="B10" s="22" t="s">
        <v>2671</v>
      </c>
      <c r="C10" s="22" t="s">
        <v>2495</v>
      </c>
      <c r="D10" s="22" t="s">
        <v>15</v>
      </c>
      <c r="E10" s="22" t="s">
        <v>2671</v>
      </c>
      <c r="F10" s="22" t="s">
        <v>2667</v>
      </c>
      <c r="G10" s="22"/>
    </row>
    <row r="11" customFormat="false" ht="12.75" hidden="false" customHeight="true" outlineLevel="0" collapsed="false">
      <c r="A11" s="22" t="s">
        <v>2672</v>
      </c>
      <c r="B11" s="22" t="s">
        <v>2673</v>
      </c>
      <c r="C11" s="22" t="s">
        <v>2674</v>
      </c>
      <c r="D11" s="22" t="s">
        <v>15</v>
      </c>
      <c r="E11" s="22" t="s">
        <v>2673</v>
      </c>
      <c r="F11" s="22" t="s">
        <v>2667</v>
      </c>
      <c r="G11" s="22"/>
    </row>
    <row r="12" customFormat="false" ht="12.75" hidden="false" customHeight="true" outlineLevel="0" collapsed="false">
      <c r="A12" s="22" t="s">
        <v>2675</v>
      </c>
      <c r="B12" s="22" t="s">
        <v>2676</v>
      </c>
      <c r="C12" s="22" t="s">
        <v>2499</v>
      </c>
      <c r="D12" s="22" t="s">
        <v>15</v>
      </c>
      <c r="E12" s="22" t="s">
        <v>2676</v>
      </c>
      <c r="F12" s="22" t="s">
        <v>2667</v>
      </c>
      <c r="G12" s="22"/>
    </row>
    <row r="13" customFormat="false" ht="12.75" hidden="false" customHeight="true" outlineLevel="0" collapsed="false">
      <c r="A13" s="22" t="s">
        <v>2677</v>
      </c>
      <c r="B13" s="22" t="s">
        <v>2678</v>
      </c>
      <c r="C13" s="22" t="s">
        <v>2505</v>
      </c>
      <c r="D13" s="22" t="s">
        <v>15</v>
      </c>
      <c r="E13" s="22" t="s">
        <v>2678</v>
      </c>
      <c r="F13" s="22" t="s">
        <v>2667</v>
      </c>
      <c r="G13" s="22"/>
    </row>
    <row r="14" customFormat="false" ht="12.75" hidden="false" customHeight="true" outlineLevel="0" collapsed="false">
      <c r="A14" s="22" t="s">
        <v>2679</v>
      </c>
      <c r="B14" s="22" t="s">
        <v>2680</v>
      </c>
      <c r="C14" s="22" t="s">
        <v>2505</v>
      </c>
      <c r="D14" s="22" t="s">
        <v>15</v>
      </c>
      <c r="E14" s="22" t="s">
        <v>2680</v>
      </c>
      <c r="F14" s="22" t="s">
        <v>2667</v>
      </c>
      <c r="G14" s="22"/>
    </row>
    <row r="15" customFormat="false" ht="12.75" hidden="false" customHeight="true" outlineLevel="0" collapsed="false">
      <c r="A15" s="22" t="s">
        <v>2681</v>
      </c>
      <c r="B15" s="22" t="n">
        <v>0.95</v>
      </c>
      <c r="C15" s="22" t="s">
        <v>2682</v>
      </c>
      <c r="D15" s="22" t="s">
        <v>15</v>
      </c>
      <c r="E15" s="22" t="n">
        <v>0.95</v>
      </c>
      <c r="F15" s="22" t="s">
        <v>2667</v>
      </c>
      <c r="G15" s="22"/>
    </row>
    <row r="16" customFormat="false" ht="12.75" hidden="false" customHeight="true" outlineLevel="0" collapsed="false">
      <c r="A16" s="22" t="s">
        <v>2683</v>
      </c>
      <c r="B16" s="22" t="s">
        <v>2684</v>
      </c>
      <c r="C16" s="22" t="s">
        <v>2513</v>
      </c>
      <c r="D16" s="22" t="s">
        <v>15</v>
      </c>
      <c r="E16" s="22" t="s">
        <v>2684</v>
      </c>
      <c r="F16" s="22" t="s">
        <v>2667</v>
      </c>
      <c r="G16" s="22"/>
    </row>
    <row r="17" customFormat="false" ht="12.75" hidden="false" customHeight="true" outlineLevel="0" collapsed="false">
      <c r="A17" s="22" t="s">
        <v>2685</v>
      </c>
      <c r="B17" s="22" t="s">
        <v>2686</v>
      </c>
      <c r="C17" s="22" t="s">
        <v>2687</v>
      </c>
      <c r="D17" s="22" t="s">
        <v>15</v>
      </c>
      <c r="E17" s="22" t="s">
        <v>2686</v>
      </c>
      <c r="F17" s="22" t="s">
        <v>2667</v>
      </c>
      <c r="G17" s="22"/>
    </row>
    <row r="18" customFormat="false" ht="12.75" hidden="false" customHeight="true" outlineLevel="0" collapsed="false">
      <c r="A18" s="22" t="s">
        <v>2688</v>
      </c>
      <c r="B18" s="22" t="s">
        <v>2689</v>
      </c>
      <c r="C18" s="22" t="s">
        <v>2491</v>
      </c>
      <c r="D18" s="22" t="s">
        <v>15</v>
      </c>
      <c r="E18" s="22" t="s">
        <v>2689</v>
      </c>
      <c r="F18" s="22" t="s">
        <v>2667</v>
      </c>
      <c r="G18" s="22"/>
    </row>
    <row r="19" customFormat="false" ht="12.75" hidden="false" customHeight="true" outlineLevel="0" collapsed="false">
      <c r="A19" s="22" t="s">
        <v>2690</v>
      </c>
      <c r="B19" s="22" t="s">
        <v>2689</v>
      </c>
      <c r="C19" s="22" t="s">
        <v>2491</v>
      </c>
      <c r="D19" s="22" t="s">
        <v>15</v>
      </c>
      <c r="E19" s="22" t="s">
        <v>2689</v>
      </c>
      <c r="F19" s="22" t="s">
        <v>2667</v>
      </c>
      <c r="G19" s="22"/>
    </row>
    <row r="20" customFormat="false" ht="26.25" hidden="false" customHeight="true" outlineLevel="0" collapsed="false">
      <c r="A20" s="22" t="s">
        <v>2691</v>
      </c>
      <c r="B20" s="22" t="s">
        <v>2692</v>
      </c>
      <c r="C20" s="22" t="s">
        <v>2693</v>
      </c>
      <c r="D20" s="22" t="s">
        <v>15</v>
      </c>
      <c r="E20" s="22" t="s">
        <v>2692</v>
      </c>
      <c r="F20" s="22" t="s">
        <v>2667</v>
      </c>
      <c r="G20" s="22"/>
    </row>
    <row r="21" customFormat="false" ht="12.75" hidden="false" customHeight="true" outlineLevel="0" collapsed="false">
      <c r="A21" s="22" t="s">
        <v>2694</v>
      </c>
      <c r="B21" s="22" t="s">
        <v>2695</v>
      </c>
      <c r="C21" s="22" t="s">
        <v>2528</v>
      </c>
      <c r="D21" s="22" t="s">
        <v>15</v>
      </c>
      <c r="E21" s="22" t="s">
        <v>2695</v>
      </c>
      <c r="F21" s="22" t="s">
        <v>2667</v>
      </c>
      <c r="G21" s="22"/>
    </row>
    <row r="22" customFormat="false" ht="12.75" hidden="false" customHeight="true" outlineLevel="0" collapsed="false">
      <c r="A22" s="22" t="s">
        <v>2696</v>
      </c>
      <c r="B22" s="22" t="s">
        <v>298</v>
      </c>
      <c r="C22" s="22" t="s">
        <v>2697</v>
      </c>
      <c r="D22" s="22" t="s">
        <v>15</v>
      </c>
      <c r="E22" s="22" t="s">
        <v>298</v>
      </c>
      <c r="F22" s="22" t="s">
        <v>2667</v>
      </c>
      <c r="G22" s="22"/>
    </row>
    <row r="23" customFormat="false" ht="12.75" hidden="false" customHeight="true" outlineLevel="0" collapsed="false">
      <c r="A23" s="22" t="s">
        <v>2698</v>
      </c>
      <c r="B23" s="22" t="s">
        <v>2699</v>
      </c>
      <c r="C23" s="22" t="s">
        <v>2526</v>
      </c>
      <c r="D23" s="22" t="s">
        <v>15</v>
      </c>
      <c r="E23" s="22" t="s">
        <v>2699</v>
      </c>
      <c r="F23" s="22" t="s">
        <v>2667</v>
      </c>
      <c r="G23" s="22"/>
    </row>
    <row r="24" customFormat="false" ht="12.75" hidden="false" customHeight="true" outlineLevel="0" collapsed="false">
      <c r="A24" s="22" t="s">
        <v>2700</v>
      </c>
      <c r="B24" s="22" t="s">
        <v>2701</v>
      </c>
      <c r="C24" s="22" t="s">
        <v>2702</v>
      </c>
      <c r="D24" s="22" t="s">
        <v>15</v>
      </c>
      <c r="E24" s="22" t="s">
        <v>2701</v>
      </c>
      <c r="F24" s="22" t="s">
        <v>2667</v>
      </c>
      <c r="G24" s="22"/>
    </row>
    <row r="25" customFormat="false" ht="26.25" hidden="false" customHeight="true" outlineLevel="0" collapsed="false">
      <c r="A25" s="22" t="s">
        <v>2703</v>
      </c>
      <c r="B25" s="22" t="s">
        <v>2704</v>
      </c>
      <c r="C25" s="22" t="s">
        <v>493</v>
      </c>
      <c r="D25" s="22" t="s">
        <v>15</v>
      </c>
      <c r="E25" s="22" t="s">
        <v>2704</v>
      </c>
      <c r="F25" s="22" t="s">
        <v>2667</v>
      </c>
      <c r="G25" s="22"/>
    </row>
    <row r="26" customFormat="false" ht="12.75" hidden="false" customHeight="true" outlineLevel="0" collapsed="false">
      <c r="A26" s="22" t="s">
        <v>2705</v>
      </c>
      <c r="B26" s="22"/>
      <c r="C26" s="22"/>
      <c r="D26" s="22"/>
      <c r="E26" s="22"/>
      <c r="F26" s="22"/>
      <c r="G26" s="22"/>
    </row>
    <row r="27" customFormat="false" ht="39" hidden="false" customHeight="true" outlineLevel="0" collapsed="false">
      <c r="A27" s="22" t="s">
        <v>2706</v>
      </c>
      <c r="B27" s="22" t="s">
        <v>2707</v>
      </c>
      <c r="C27" s="22"/>
      <c r="D27" s="22"/>
      <c r="E27" s="22"/>
      <c r="F27" s="22"/>
      <c r="G27" s="22"/>
    </row>
    <row r="28" customFormat="false" ht="12.75" hidden="false" customHeight="true" outlineLevel="0" collapsed="false">
      <c r="A28" s="22" t="s">
        <v>2708</v>
      </c>
      <c r="B28" s="22" t="s">
        <v>2709</v>
      </c>
      <c r="C28" s="22"/>
      <c r="D28" s="22"/>
      <c r="E28" s="22"/>
      <c r="F28" s="22"/>
      <c r="G28" s="22"/>
    </row>
    <row r="29" customFormat="false" ht="12.75" hidden="false" customHeight="true" outlineLevel="0" collapsed="false">
      <c r="A29" s="22" t="s">
        <v>2710</v>
      </c>
      <c r="B29" s="22" t="s">
        <v>2711</v>
      </c>
      <c r="C29" s="22"/>
      <c r="D29" s="22"/>
      <c r="E29" s="22"/>
      <c r="F29" s="22"/>
      <c r="G29" s="22"/>
    </row>
    <row r="30" customFormat="false" ht="12.75" hidden="false" customHeight="true" outlineLevel="0" collapsed="false">
      <c r="A30" s="22" t="s">
        <v>2712</v>
      </c>
      <c r="B30" s="22" t="s">
        <v>2713</v>
      </c>
      <c r="C30" s="22"/>
      <c r="D30" s="22"/>
      <c r="E30" s="22"/>
      <c r="F30" s="22"/>
      <c r="G30" s="22"/>
    </row>
    <row r="31" customFormat="false" ht="12.75" hidden="false" customHeight="true" outlineLevel="0" collapsed="false">
      <c r="A31" s="22"/>
      <c r="B31" s="22"/>
      <c r="C31" s="22"/>
      <c r="D31" s="22"/>
      <c r="E31" s="22"/>
      <c r="F31" s="22"/>
      <c r="G31" s="22"/>
    </row>
    <row r="32" customFormat="false" ht="92.25" hidden="false" customHeight="true" outlineLevel="0" collapsed="false">
      <c r="A32" s="22" t="s">
        <v>2714</v>
      </c>
      <c r="B32" s="22" t="s">
        <v>2715</v>
      </c>
      <c r="C32" s="22"/>
      <c r="D32" s="22"/>
      <c r="E32" s="22"/>
      <c r="F32" s="22"/>
      <c r="G32" s="22"/>
    </row>
    <row r="33" customFormat="false" ht="39" hidden="false" customHeight="true" outlineLevel="0" collapsed="false">
      <c r="A33" s="22" t="s">
        <v>2716</v>
      </c>
      <c r="B33" s="22" t="s">
        <v>2717</v>
      </c>
      <c r="C33" s="22" t="s">
        <v>2718</v>
      </c>
      <c r="D33" s="22"/>
      <c r="E33" s="22"/>
      <c r="F33" s="22"/>
      <c r="G33" s="22"/>
    </row>
    <row r="34" customFormat="false" ht="12.75" hidden="false" customHeight="true" outlineLevel="0" collapsed="false">
      <c r="A34" s="22"/>
      <c r="B34" s="22"/>
      <c r="C34" s="22"/>
      <c r="D34" s="22"/>
      <c r="E34" s="22"/>
      <c r="F34" s="22"/>
      <c r="G34" s="22"/>
    </row>
    <row r="35" customFormat="false" ht="12.75" hidden="false" customHeight="true" outlineLevel="0" collapsed="false">
      <c r="A35" s="22"/>
      <c r="B35" s="22"/>
      <c r="C35" s="22"/>
      <c r="D35" s="22"/>
      <c r="E35" s="22"/>
      <c r="F35" s="22"/>
      <c r="G35" s="22"/>
    </row>
    <row r="36" customFormat="false" ht="26.25" hidden="false" customHeight="true" outlineLevel="0" collapsed="false">
      <c r="A36" s="22" t="s">
        <v>2719</v>
      </c>
      <c r="B36" s="22" t="s">
        <v>2720</v>
      </c>
      <c r="C36" s="22"/>
      <c r="D36" s="22"/>
      <c r="E36" s="22"/>
      <c r="F36" s="22"/>
      <c r="G36" s="22"/>
    </row>
    <row r="37" customFormat="false" ht="39" hidden="false" customHeight="true" outlineLevel="0" collapsed="false">
      <c r="A37" s="22" t="s">
        <v>2721</v>
      </c>
      <c r="B37" s="22" t="s">
        <v>2722</v>
      </c>
      <c r="C37" s="22"/>
      <c r="D37" s="22"/>
      <c r="E37" s="22"/>
      <c r="F37" s="22"/>
      <c r="G37" s="22"/>
    </row>
    <row r="38" customFormat="false" ht="26.25" hidden="false" customHeight="true" outlineLevel="0" collapsed="false">
      <c r="A38" s="22" t="s">
        <v>2723</v>
      </c>
      <c r="B38" s="22" t="s">
        <v>2724</v>
      </c>
      <c r="C38" s="22"/>
      <c r="D38" s="22"/>
      <c r="E38" s="22"/>
      <c r="F38" s="22"/>
      <c r="G38" s="22"/>
    </row>
    <row r="39" customFormat="false" ht="26.25" hidden="false" customHeight="true" outlineLevel="0" collapsed="false">
      <c r="A39" s="22" t="s">
        <v>2725</v>
      </c>
      <c r="B39" s="22" t="s">
        <v>2726</v>
      </c>
      <c r="C39" s="22"/>
      <c r="D39" s="22"/>
      <c r="E39" s="22"/>
      <c r="F39" s="22"/>
      <c r="G39" s="22"/>
    </row>
    <row r="40" customFormat="false" ht="12.75" hidden="false" customHeight="true" outlineLevel="0" collapsed="false">
      <c r="A40" s="22"/>
      <c r="B40" s="22"/>
      <c r="C40" s="22"/>
      <c r="D40" s="22"/>
      <c r="E40" s="22"/>
      <c r="F40" s="22"/>
      <c r="G40" s="22"/>
    </row>
    <row r="41" customFormat="false" ht="12.75" hidden="false" customHeight="true" outlineLevel="0" collapsed="false">
      <c r="A41" s="22"/>
      <c r="B41" s="22"/>
      <c r="C41" s="22"/>
      <c r="D41" s="22"/>
      <c r="E41" s="22"/>
      <c r="F41" s="22"/>
      <c r="G41" s="22"/>
    </row>
    <row r="42" customFormat="false" ht="12.75" hidden="false" customHeight="true" outlineLevel="0" collapsed="false">
      <c r="A42" s="22"/>
      <c r="B42" s="22"/>
      <c r="C42" s="22"/>
      <c r="D42" s="22"/>
      <c r="E42" s="22"/>
      <c r="F42" s="22"/>
      <c r="G42" s="22"/>
    </row>
    <row r="43" customFormat="false" ht="12.75" hidden="false" customHeight="true" outlineLevel="0" collapsed="false">
      <c r="A43" s="22"/>
      <c r="B43" s="22"/>
      <c r="C43" s="22"/>
      <c r="D43" s="22"/>
      <c r="E43" s="22"/>
      <c r="F43" s="22"/>
      <c r="G43" s="22"/>
    </row>
    <row r="44" customFormat="false" ht="12.75" hidden="false" customHeight="true" outlineLevel="0" collapsed="false">
      <c r="A44" s="22"/>
      <c r="B44" s="22"/>
      <c r="C44" s="22"/>
      <c r="D44" s="22"/>
      <c r="E44" s="22"/>
      <c r="F44" s="22"/>
      <c r="G44" s="22"/>
    </row>
    <row r="45" customFormat="false" ht="12.75" hidden="false" customHeight="true" outlineLevel="0" collapsed="false">
      <c r="A45" s="22"/>
      <c r="B45" s="22"/>
      <c r="C45" s="22"/>
      <c r="D45" s="22"/>
      <c r="E45" s="22"/>
      <c r="F45" s="22"/>
      <c r="G45" s="22"/>
    </row>
    <row r="46" customFormat="false" ht="12.75" hidden="false" customHeight="true" outlineLevel="0" collapsed="false">
      <c r="A46" s="22"/>
      <c r="B46" s="22"/>
      <c r="C46" s="22"/>
      <c r="D46" s="22"/>
      <c r="E46" s="22"/>
      <c r="F46" s="22"/>
      <c r="G46" s="22"/>
    </row>
    <row r="47" customFormat="false" ht="12.75" hidden="false" customHeight="true" outlineLevel="0" collapsed="false">
      <c r="A47" s="22"/>
      <c r="B47" s="22"/>
      <c r="C47" s="22"/>
      <c r="D47" s="22"/>
      <c r="E47" s="22"/>
      <c r="F47" s="22"/>
      <c r="G47" s="22"/>
    </row>
    <row r="48" customFormat="false" ht="12.75" hidden="false" customHeight="true" outlineLevel="0" collapsed="false">
      <c r="A48" s="22"/>
      <c r="B48" s="22"/>
      <c r="C48" s="22"/>
      <c r="D48" s="22"/>
      <c r="E48" s="22"/>
      <c r="F48" s="22"/>
      <c r="G48" s="22"/>
    </row>
    <row r="49" customFormat="false" ht="12.75" hidden="false" customHeight="true" outlineLevel="0" collapsed="false">
      <c r="A49" s="22"/>
      <c r="B49" s="22"/>
      <c r="C49" s="22"/>
      <c r="D49" s="22"/>
      <c r="E49" s="22"/>
      <c r="F49" s="22"/>
      <c r="G49" s="22"/>
    </row>
    <row r="50" customFormat="false" ht="12.75" hidden="false" customHeight="true" outlineLevel="0" collapsed="false">
      <c r="A50" s="22"/>
      <c r="B50" s="22"/>
      <c r="C50" s="22"/>
      <c r="D50" s="22"/>
      <c r="E50" s="22"/>
      <c r="F50" s="22"/>
      <c r="G50" s="22"/>
    </row>
    <row r="51" customFormat="false" ht="12.75" hidden="false" customHeight="true" outlineLevel="0" collapsed="false">
      <c r="A51" s="22"/>
      <c r="B51" s="22"/>
      <c r="C51" s="22"/>
      <c r="D51" s="22"/>
      <c r="E51" s="22"/>
      <c r="F51" s="22"/>
      <c r="G51" s="22"/>
    </row>
    <row r="52" customFormat="false" ht="12.75" hidden="false" customHeight="true" outlineLevel="0" collapsed="false">
      <c r="A52" s="22"/>
      <c r="B52" s="22"/>
      <c r="C52" s="22"/>
      <c r="D52" s="22"/>
      <c r="E52" s="22"/>
      <c r="F52" s="22"/>
      <c r="G52" s="22"/>
    </row>
    <row r="53" customFormat="false" ht="12.75" hidden="false" customHeight="true" outlineLevel="0" collapsed="false">
      <c r="A53" s="22"/>
      <c r="B53" s="22"/>
      <c r="C53" s="22"/>
      <c r="D53" s="22"/>
      <c r="E53" s="22"/>
      <c r="F53" s="22"/>
      <c r="G53" s="22"/>
    </row>
    <row r="54" customFormat="false" ht="12.75" hidden="false" customHeight="true" outlineLevel="0" collapsed="false">
      <c r="A54" s="22"/>
      <c r="B54" s="22"/>
      <c r="C54" s="22"/>
      <c r="D54" s="22"/>
      <c r="E54" s="22"/>
      <c r="F54" s="22"/>
      <c r="G54" s="22"/>
    </row>
    <row r="55" customFormat="false" ht="12.75" hidden="false" customHeight="true" outlineLevel="0" collapsed="false">
      <c r="A55" s="22"/>
      <c r="B55" s="22"/>
      <c r="C55" s="22"/>
      <c r="D55" s="22"/>
      <c r="E55" s="22"/>
      <c r="F55" s="22"/>
      <c r="G55" s="22"/>
    </row>
    <row r="56" customFormat="false" ht="12.75" hidden="false" customHeight="true" outlineLevel="0" collapsed="false">
      <c r="A56" s="22"/>
      <c r="B56" s="22"/>
      <c r="C56" s="22"/>
      <c r="D56" s="22"/>
      <c r="E56" s="22"/>
      <c r="F56" s="22"/>
      <c r="G56" s="22"/>
    </row>
    <row r="57" customFormat="false" ht="12.75" hidden="false" customHeight="true" outlineLevel="0" collapsed="false">
      <c r="A57" s="22"/>
      <c r="B57" s="22"/>
      <c r="C57" s="22"/>
      <c r="D57" s="22"/>
      <c r="E57" s="22"/>
      <c r="F57" s="22"/>
      <c r="G57" s="22"/>
    </row>
    <row r="58" customFormat="false" ht="12.75" hidden="false" customHeight="true" outlineLevel="0" collapsed="false">
      <c r="A58" s="22"/>
      <c r="B58" s="22"/>
      <c r="C58" s="22"/>
      <c r="D58" s="22"/>
      <c r="E58" s="22"/>
      <c r="F58" s="22"/>
      <c r="G58" s="22"/>
    </row>
    <row r="59" customFormat="false" ht="12.75" hidden="false" customHeight="true" outlineLevel="0" collapsed="false">
      <c r="A59" s="22"/>
      <c r="B59" s="22"/>
      <c r="C59" s="22"/>
      <c r="D59" s="22"/>
      <c r="E59" s="22"/>
      <c r="F59" s="22"/>
      <c r="G59" s="22"/>
    </row>
    <row r="60" customFormat="false" ht="12.75" hidden="false" customHeight="true" outlineLevel="0" collapsed="false">
      <c r="A60" s="22"/>
      <c r="B60" s="22"/>
      <c r="C60" s="22"/>
      <c r="D60" s="22"/>
      <c r="E60" s="22"/>
      <c r="F60" s="22"/>
      <c r="G6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6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7" min="1" style="1" width="36"/>
  </cols>
  <sheetData>
    <row r="1" customFormat="false" ht="39" hidden="false" customHeight="true" outlineLevel="0" collapsed="false">
      <c r="A1" s="21" t="s">
        <v>2727</v>
      </c>
      <c r="B1" s="21"/>
      <c r="C1" s="21"/>
      <c r="D1" s="21"/>
      <c r="E1" s="21"/>
      <c r="F1" s="21"/>
      <c r="G1" s="21"/>
    </row>
    <row r="2" customFormat="false" ht="92.25" hidden="false" customHeight="true" outlineLevel="0" collapsed="false">
      <c r="A2" s="22" t="s">
        <v>2728</v>
      </c>
      <c r="B2" s="22"/>
      <c r="C2" s="22"/>
      <c r="D2" s="22"/>
      <c r="E2" s="22"/>
      <c r="F2" s="22"/>
      <c r="G2" s="22"/>
    </row>
    <row r="3" customFormat="false" ht="12.75" hidden="false" customHeight="true" outlineLevel="0" collapsed="false">
      <c r="A3" s="22"/>
      <c r="B3" s="22"/>
      <c r="C3" s="22"/>
      <c r="D3" s="22"/>
      <c r="E3" s="22"/>
      <c r="F3" s="22"/>
      <c r="G3" s="22"/>
    </row>
    <row r="4" customFormat="false" ht="12.75" hidden="false" customHeight="true" outlineLevel="0" collapsed="false">
      <c r="A4" s="127" t="s">
        <v>241</v>
      </c>
      <c r="B4" s="127" t="s">
        <v>2662</v>
      </c>
      <c r="C4" s="127" t="s">
        <v>2663</v>
      </c>
      <c r="D4" s="127" t="s">
        <v>188</v>
      </c>
      <c r="E4" s="127" t="s">
        <v>2665</v>
      </c>
      <c r="F4" s="127" t="s">
        <v>244</v>
      </c>
      <c r="G4" s="127" t="s">
        <v>979</v>
      </c>
    </row>
    <row r="5" customFormat="false" ht="12.75" hidden="false" customHeight="true" outlineLevel="0" collapsed="false">
      <c r="A5" s="22" t="s">
        <v>2729</v>
      </c>
      <c r="B5" s="22" t="s">
        <v>2188</v>
      </c>
      <c r="C5" s="22" t="s">
        <v>2730</v>
      </c>
      <c r="D5" s="22" t="s">
        <v>15</v>
      </c>
      <c r="E5" s="22" t="s">
        <v>2188</v>
      </c>
      <c r="F5" s="22" t="s">
        <v>2667</v>
      </c>
      <c r="G5" s="22"/>
    </row>
    <row r="6" customFormat="false" ht="12.75" hidden="false" customHeight="true" outlineLevel="0" collapsed="false">
      <c r="A6" s="22" t="s">
        <v>2731</v>
      </c>
      <c r="B6" s="22" t="s">
        <v>879</v>
      </c>
      <c r="C6" s="22" t="s">
        <v>2732</v>
      </c>
      <c r="D6" s="22" t="s">
        <v>15</v>
      </c>
      <c r="E6" s="22" t="s">
        <v>879</v>
      </c>
      <c r="F6" s="22" t="s">
        <v>2667</v>
      </c>
      <c r="G6" s="22"/>
    </row>
    <row r="7" customFormat="false" ht="26.25" hidden="false" customHeight="true" outlineLevel="0" collapsed="false">
      <c r="A7" s="22" t="s">
        <v>2733</v>
      </c>
      <c r="B7" s="22" t="s">
        <v>2734</v>
      </c>
      <c r="C7" s="22" t="s">
        <v>548</v>
      </c>
      <c r="D7" s="22" t="s">
        <v>15</v>
      </c>
      <c r="E7" s="22" t="s">
        <v>2734</v>
      </c>
      <c r="F7" s="22" t="s">
        <v>2667</v>
      </c>
      <c r="G7" s="22"/>
    </row>
    <row r="8" customFormat="false" ht="39" hidden="false" customHeight="true" outlineLevel="0" collapsed="false">
      <c r="A8" s="22" t="s">
        <v>2735</v>
      </c>
      <c r="B8" s="22" t="s">
        <v>2736</v>
      </c>
      <c r="C8" s="22" t="s">
        <v>548</v>
      </c>
      <c r="D8" s="22" t="s">
        <v>15</v>
      </c>
      <c r="E8" s="22" t="s">
        <v>2736</v>
      </c>
      <c r="F8" s="22" t="s">
        <v>2667</v>
      </c>
      <c r="G8" s="22"/>
    </row>
    <row r="9" customFormat="false" ht="39" hidden="false" customHeight="true" outlineLevel="0" collapsed="false">
      <c r="A9" s="22" t="s">
        <v>2737</v>
      </c>
      <c r="B9" s="22" t="s">
        <v>2738</v>
      </c>
      <c r="C9" s="22" t="s">
        <v>548</v>
      </c>
      <c r="D9" s="22" t="s">
        <v>15</v>
      </c>
      <c r="E9" s="22" t="s">
        <v>2738</v>
      </c>
      <c r="F9" s="22" t="s">
        <v>2667</v>
      </c>
      <c r="G9" s="22"/>
    </row>
    <row r="10" customFormat="false" ht="26.25" hidden="false" customHeight="true" outlineLevel="0" collapsed="false">
      <c r="A10" s="22" t="s">
        <v>2739</v>
      </c>
      <c r="B10" s="22" t="s">
        <v>2740</v>
      </c>
      <c r="C10" s="22" t="s">
        <v>548</v>
      </c>
      <c r="D10" s="22" t="s">
        <v>15</v>
      </c>
      <c r="E10" s="22" t="s">
        <v>2740</v>
      </c>
      <c r="F10" s="22" t="s">
        <v>2667</v>
      </c>
      <c r="G10" s="22"/>
    </row>
    <row r="11" customFormat="false" ht="26.25" hidden="false" customHeight="true" outlineLevel="0" collapsed="false">
      <c r="A11" s="22" t="s">
        <v>2741</v>
      </c>
      <c r="B11" s="22" t="s">
        <v>2742</v>
      </c>
      <c r="C11" s="22" t="s">
        <v>2743</v>
      </c>
      <c r="D11" s="22" t="s">
        <v>15</v>
      </c>
      <c r="E11" s="22" t="s">
        <v>2742</v>
      </c>
      <c r="F11" s="22" t="s">
        <v>2667</v>
      </c>
      <c r="G11" s="22"/>
    </row>
    <row r="12" customFormat="false" ht="26.25" hidden="false" customHeight="true" outlineLevel="0" collapsed="false">
      <c r="A12" s="22" t="s">
        <v>2744</v>
      </c>
      <c r="B12" s="22" t="s">
        <v>2745</v>
      </c>
      <c r="C12" s="22" t="s">
        <v>548</v>
      </c>
      <c r="D12" s="22" t="s">
        <v>15</v>
      </c>
      <c r="E12" s="22" t="s">
        <v>2745</v>
      </c>
      <c r="F12" s="22" t="s">
        <v>2667</v>
      </c>
      <c r="G12" s="22"/>
    </row>
    <row r="13" customFormat="false" ht="26.25" hidden="false" customHeight="true" outlineLevel="0" collapsed="false">
      <c r="A13" s="22" t="s">
        <v>2746</v>
      </c>
      <c r="B13" s="22" t="s">
        <v>2747</v>
      </c>
      <c r="C13" s="22" t="s">
        <v>548</v>
      </c>
      <c r="D13" s="22" t="s">
        <v>15</v>
      </c>
      <c r="E13" s="22" t="s">
        <v>2747</v>
      </c>
      <c r="F13" s="22" t="s">
        <v>2667</v>
      </c>
      <c r="G13" s="22"/>
    </row>
    <row r="14" customFormat="false" ht="52.5" hidden="false" customHeight="true" outlineLevel="0" collapsed="false">
      <c r="A14" s="22" t="s">
        <v>2748</v>
      </c>
      <c r="B14" s="22" t="s">
        <v>2749</v>
      </c>
      <c r="C14" s="22" t="s">
        <v>548</v>
      </c>
      <c r="D14" s="22" t="s">
        <v>15</v>
      </c>
      <c r="E14" s="22" t="s">
        <v>2749</v>
      </c>
      <c r="F14" s="22" t="s">
        <v>2667</v>
      </c>
      <c r="G14" s="22"/>
    </row>
    <row r="15" customFormat="false" ht="26.25" hidden="false" customHeight="true" outlineLevel="0" collapsed="false">
      <c r="A15" s="22" t="s">
        <v>2750</v>
      </c>
      <c r="B15" s="22" t="s">
        <v>2751</v>
      </c>
      <c r="C15" s="22" t="s">
        <v>388</v>
      </c>
      <c r="D15" s="22" t="s">
        <v>15</v>
      </c>
      <c r="E15" s="22" t="s">
        <v>2751</v>
      </c>
      <c r="F15" s="22" t="s">
        <v>2667</v>
      </c>
      <c r="G15" s="22"/>
    </row>
    <row r="16" customFormat="false" ht="39" hidden="false" customHeight="true" outlineLevel="0" collapsed="false">
      <c r="A16" s="22" t="s">
        <v>2752</v>
      </c>
      <c r="B16" s="22" t="s">
        <v>2211</v>
      </c>
      <c r="C16" s="22" t="s">
        <v>2732</v>
      </c>
      <c r="D16" s="22" t="s">
        <v>15</v>
      </c>
      <c r="E16" s="22" t="s">
        <v>2211</v>
      </c>
      <c r="F16" s="22" t="s">
        <v>2667</v>
      </c>
      <c r="G16" s="22"/>
    </row>
    <row r="17" customFormat="false" ht="39" hidden="false" customHeight="true" outlineLevel="0" collapsed="false">
      <c r="A17" s="22" t="s">
        <v>2753</v>
      </c>
      <c r="B17" s="22" t="s">
        <v>2213</v>
      </c>
      <c r="C17" s="22" t="s">
        <v>548</v>
      </c>
      <c r="D17" s="22" t="s">
        <v>15</v>
      </c>
      <c r="E17" s="22" t="s">
        <v>2213</v>
      </c>
      <c r="F17" s="22" t="s">
        <v>2667</v>
      </c>
      <c r="G17" s="22"/>
    </row>
    <row r="18" customFormat="false" ht="105" hidden="false" customHeight="true" outlineLevel="0" collapsed="false">
      <c r="A18" s="22" t="s">
        <v>2754</v>
      </c>
      <c r="B18" s="22" t="s">
        <v>496</v>
      </c>
      <c r="C18" s="22" t="s">
        <v>493</v>
      </c>
      <c r="D18" s="22" t="s">
        <v>15</v>
      </c>
      <c r="E18" s="22" t="s">
        <v>496</v>
      </c>
      <c r="F18" s="22" t="s">
        <v>2667</v>
      </c>
      <c r="G18" s="22" t="s">
        <v>2755</v>
      </c>
    </row>
    <row r="19" customFormat="false" ht="26.25" hidden="false" customHeight="true" outlineLevel="0" collapsed="false">
      <c r="A19" s="22" t="s">
        <v>2756</v>
      </c>
      <c r="B19" s="22" t="s">
        <v>2216</v>
      </c>
      <c r="C19" s="22" t="s">
        <v>548</v>
      </c>
      <c r="D19" s="22" t="s">
        <v>15</v>
      </c>
      <c r="E19" s="22" t="s">
        <v>2216</v>
      </c>
      <c r="F19" s="22" t="s">
        <v>2667</v>
      </c>
      <c r="G19" s="22"/>
    </row>
    <row r="20" customFormat="false" ht="26.25" hidden="false" customHeight="true" outlineLevel="0" collapsed="false">
      <c r="A20" s="22" t="s">
        <v>2757</v>
      </c>
      <c r="B20" s="22" t="s">
        <v>2218</v>
      </c>
      <c r="C20" s="22" t="s">
        <v>548</v>
      </c>
      <c r="D20" s="22" t="s">
        <v>15</v>
      </c>
      <c r="E20" s="22" t="s">
        <v>2218</v>
      </c>
      <c r="F20" s="22" t="s">
        <v>2667</v>
      </c>
      <c r="G20" s="22"/>
    </row>
    <row r="21" customFormat="false" ht="26.25" hidden="false" customHeight="true" outlineLevel="0" collapsed="false">
      <c r="A21" s="22" t="s">
        <v>2758</v>
      </c>
      <c r="B21" s="22" t="s">
        <v>2759</v>
      </c>
      <c r="C21" s="22" t="s">
        <v>548</v>
      </c>
      <c r="D21" s="22" t="s">
        <v>15</v>
      </c>
      <c r="E21" s="22" t="s">
        <v>2759</v>
      </c>
      <c r="F21" s="22" t="s">
        <v>2667</v>
      </c>
      <c r="G21" s="22"/>
    </row>
    <row r="22" customFormat="false" ht="39" hidden="false" customHeight="true" outlineLevel="0" collapsed="false">
      <c r="A22" s="22" t="s">
        <v>2760</v>
      </c>
      <c r="B22" s="22" t="s">
        <v>2761</v>
      </c>
      <c r="C22" s="22" t="s">
        <v>548</v>
      </c>
      <c r="D22" s="22" t="s">
        <v>15</v>
      </c>
      <c r="E22" s="22" t="s">
        <v>2761</v>
      </c>
      <c r="F22" s="22" t="s">
        <v>2667</v>
      </c>
      <c r="G22" s="22"/>
    </row>
    <row r="23" customFormat="false" ht="39" hidden="false" customHeight="true" outlineLevel="0" collapsed="false">
      <c r="A23" s="22" t="s">
        <v>2700</v>
      </c>
      <c r="B23" s="22" t="s">
        <v>2762</v>
      </c>
      <c r="C23" s="22" t="s">
        <v>548</v>
      </c>
      <c r="D23" s="22" t="s">
        <v>15</v>
      </c>
      <c r="E23" s="22" t="s">
        <v>2762</v>
      </c>
      <c r="F23" s="22" t="s">
        <v>2667</v>
      </c>
      <c r="G23" s="22"/>
    </row>
    <row r="24" customFormat="false" ht="26.25" hidden="false" customHeight="true" outlineLevel="0" collapsed="false">
      <c r="A24" s="22" t="s">
        <v>2763</v>
      </c>
      <c r="B24" s="22" t="s">
        <v>2764</v>
      </c>
      <c r="C24" s="22" t="s">
        <v>548</v>
      </c>
      <c r="D24" s="22" t="s">
        <v>15</v>
      </c>
      <c r="E24" s="22" t="s">
        <v>2764</v>
      </c>
      <c r="F24" s="22" t="s">
        <v>2667</v>
      </c>
      <c r="G24" s="22"/>
    </row>
    <row r="25" customFormat="false" ht="12.75" hidden="false" customHeight="true" outlineLevel="0" collapsed="false">
      <c r="A25" s="22" t="s">
        <v>2765</v>
      </c>
      <c r="B25" s="22" t="s">
        <v>1741</v>
      </c>
      <c r="C25" s="22" t="s">
        <v>548</v>
      </c>
      <c r="D25" s="22" t="s">
        <v>15</v>
      </c>
      <c r="E25" s="22" t="s">
        <v>2766</v>
      </c>
      <c r="F25" s="22" t="s">
        <v>2667</v>
      </c>
      <c r="G25" s="22"/>
    </row>
    <row r="26" customFormat="false" ht="12.75" hidden="false" customHeight="true" outlineLevel="0" collapsed="false">
      <c r="A26" s="22"/>
      <c r="B26" s="22"/>
      <c r="C26" s="22"/>
      <c r="D26" s="22"/>
      <c r="E26" s="22"/>
      <c r="F26" s="22"/>
      <c r="G26" s="22"/>
    </row>
    <row r="27" customFormat="false" ht="105" hidden="false" customHeight="true" outlineLevel="0" collapsed="false">
      <c r="A27" s="22" t="s">
        <v>2767</v>
      </c>
      <c r="B27" s="22" t="s">
        <v>2768</v>
      </c>
      <c r="C27" s="22"/>
      <c r="D27" s="22" t="s">
        <v>15</v>
      </c>
      <c r="E27" s="22" t="s">
        <v>2768</v>
      </c>
      <c r="F27" s="22" t="s">
        <v>2667</v>
      </c>
      <c r="G27" s="22"/>
    </row>
    <row r="28" customFormat="false" ht="52.5" hidden="false" customHeight="true" outlineLevel="0" collapsed="false">
      <c r="A28" s="22" t="s">
        <v>2769</v>
      </c>
      <c r="B28" s="22" t="s">
        <v>2770</v>
      </c>
      <c r="C28" s="22"/>
      <c r="D28" s="22" t="s">
        <v>15</v>
      </c>
      <c r="E28" s="22" t="s">
        <v>2770</v>
      </c>
      <c r="F28" s="22" t="s">
        <v>2667</v>
      </c>
      <c r="G28" s="22"/>
    </row>
    <row r="29" customFormat="false" ht="12.75" hidden="false" customHeight="true" outlineLevel="0" collapsed="false">
      <c r="A29" s="22"/>
      <c r="B29" s="22"/>
      <c r="C29" s="22"/>
      <c r="D29" s="22"/>
      <c r="E29" s="22"/>
      <c r="F29" s="22"/>
      <c r="G29" s="22"/>
    </row>
    <row r="30" customFormat="false" ht="26.25" hidden="false" customHeight="true" outlineLevel="0" collapsed="false">
      <c r="A30" s="22" t="s">
        <v>2771</v>
      </c>
      <c r="B30" s="22"/>
      <c r="C30" s="22"/>
      <c r="D30" s="22"/>
      <c r="E30" s="22"/>
      <c r="F30" s="22"/>
      <c r="G30" s="22"/>
    </row>
    <row r="31" customFormat="false" ht="12.75" hidden="false" customHeight="true" outlineLevel="0" collapsed="false">
      <c r="A31" s="22" t="s">
        <v>2772</v>
      </c>
      <c r="B31" s="22" t="s">
        <v>2773</v>
      </c>
      <c r="C31" s="22" t="s">
        <v>2774</v>
      </c>
      <c r="D31" s="22" t="s">
        <v>2775</v>
      </c>
      <c r="E31" s="22" t="s">
        <v>2776</v>
      </c>
      <c r="F31" s="22" t="s">
        <v>2777</v>
      </c>
      <c r="G31" s="22" t="s">
        <v>244</v>
      </c>
    </row>
    <row r="32" customFormat="false" ht="66" hidden="false" customHeight="true" outlineLevel="0" collapsed="false">
      <c r="A32" s="22" t="s">
        <v>2778</v>
      </c>
      <c r="B32" s="22" t="s">
        <v>2779</v>
      </c>
      <c r="C32" s="22" t="s">
        <v>2780</v>
      </c>
      <c r="D32" s="22" t="s">
        <v>2781</v>
      </c>
      <c r="E32" s="22" t="s">
        <v>2782</v>
      </c>
      <c r="F32" s="22" t="s">
        <v>2783</v>
      </c>
      <c r="G32" s="22" t="s">
        <v>2784</v>
      </c>
    </row>
    <row r="33" customFormat="false" ht="52.5" hidden="false" customHeight="true" outlineLevel="0" collapsed="false">
      <c r="A33" s="22" t="s">
        <v>2785</v>
      </c>
      <c r="B33" s="22" t="s">
        <v>2786</v>
      </c>
      <c r="C33" s="22" t="s">
        <v>2787</v>
      </c>
      <c r="D33" s="22" t="s">
        <v>2788</v>
      </c>
      <c r="E33" s="22" t="s">
        <v>2789</v>
      </c>
      <c r="F33" s="22" t="s">
        <v>2790</v>
      </c>
      <c r="G33" s="22" t="s">
        <v>2784</v>
      </c>
    </row>
    <row r="34" customFormat="false" ht="66" hidden="false" customHeight="true" outlineLevel="0" collapsed="false">
      <c r="A34" s="22" t="s">
        <v>2791</v>
      </c>
      <c r="B34" s="22" t="s">
        <v>2792</v>
      </c>
      <c r="C34" s="22" t="s">
        <v>2793</v>
      </c>
      <c r="D34" s="22" t="s">
        <v>2794</v>
      </c>
      <c r="E34" s="22" t="s">
        <v>2795</v>
      </c>
      <c r="F34" s="22" t="s">
        <v>2796</v>
      </c>
      <c r="G34" s="22" t="s">
        <v>2784</v>
      </c>
    </row>
    <row r="35" customFormat="false" ht="39" hidden="false" customHeight="true" outlineLevel="0" collapsed="false">
      <c r="A35" s="22" t="s">
        <v>2797</v>
      </c>
      <c r="B35" s="22" t="s">
        <v>2798</v>
      </c>
      <c r="C35" s="22" t="s">
        <v>2799</v>
      </c>
      <c r="D35" s="22" t="s">
        <v>2800</v>
      </c>
      <c r="E35" s="22" t="s">
        <v>2801</v>
      </c>
      <c r="F35" s="22" t="s">
        <v>2802</v>
      </c>
      <c r="G35" s="22" t="s">
        <v>2784</v>
      </c>
    </row>
    <row r="36" customFormat="false" ht="39" hidden="false" customHeight="true" outlineLevel="0" collapsed="false">
      <c r="A36" s="22" t="s">
        <v>2803</v>
      </c>
      <c r="B36" s="22" t="s">
        <v>2804</v>
      </c>
      <c r="C36" s="22" t="s">
        <v>2805</v>
      </c>
      <c r="D36" s="22" t="s">
        <v>2806</v>
      </c>
      <c r="E36" s="22" t="s">
        <v>2807</v>
      </c>
      <c r="F36" s="22" t="s">
        <v>2808</v>
      </c>
      <c r="G36" s="22" t="s">
        <v>2784</v>
      </c>
    </row>
    <row r="37" customFormat="false" ht="12.75" hidden="false" customHeight="true" outlineLevel="0" collapsed="false">
      <c r="A37" s="22"/>
      <c r="B37" s="22"/>
      <c r="C37" s="22"/>
      <c r="D37" s="22"/>
      <c r="E37" s="22"/>
      <c r="F37" s="22"/>
      <c r="G37" s="22"/>
    </row>
    <row r="38" customFormat="false" ht="12.75" hidden="false" customHeight="true" outlineLevel="0" collapsed="false">
      <c r="A38" s="22"/>
      <c r="B38" s="22"/>
      <c r="C38" s="22"/>
      <c r="D38" s="22"/>
      <c r="E38" s="22"/>
      <c r="F38" s="22"/>
      <c r="G38" s="22"/>
    </row>
    <row r="39" customFormat="false" ht="12.75" hidden="false" customHeight="true" outlineLevel="0" collapsed="false">
      <c r="A39" s="22"/>
      <c r="B39" s="22"/>
      <c r="C39" s="22"/>
      <c r="D39" s="22"/>
      <c r="E39" s="22"/>
      <c r="F39" s="22"/>
      <c r="G39" s="22"/>
    </row>
    <row r="40" customFormat="false" ht="12.75" hidden="false" customHeight="true" outlineLevel="0" collapsed="false">
      <c r="A40" s="22"/>
      <c r="B40" s="22"/>
      <c r="C40" s="22"/>
      <c r="D40" s="22"/>
      <c r="E40" s="22"/>
      <c r="F40" s="22"/>
      <c r="G40" s="22"/>
    </row>
    <row r="41" customFormat="false" ht="12.75" hidden="false" customHeight="true" outlineLevel="0" collapsed="false">
      <c r="A41" s="22"/>
      <c r="B41" s="22"/>
      <c r="C41" s="22"/>
      <c r="D41" s="22"/>
      <c r="E41" s="22"/>
      <c r="F41" s="22"/>
      <c r="G41" s="22"/>
    </row>
    <row r="42" customFormat="false" ht="12.75" hidden="false" customHeight="true" outlineLevel="0" collapsed="false">
      <c r="A42" s="22"/>
      <c r="B42" s="22"/>
      <c r="C42" s="22"/>
      <c r="D42" s="22"/>
      <c r="E42" s="22"/>
      <c r="F42" s="22"/>
      <c r="G42" s="22"/>
    </row>
    <row r="43" customFormat="false" ht="12.75" hidden="false" customHeight="true" outlineLevel="0" collapsed="false">
      <c r="A43" s="22"/>
      <c r="B43" s="22"/>
      <c r="C43" s="22"/>
      <c r="D43" s="22"/>
      <c r="E43" s="22"/>
      <c r="F43" s="22"/>
      <c r="G43" s="22"/>
    </row>
    <row r="44" customFormat="false" ht="12.75" hidden="false" customHeight="true" outlineLevel="0" collapsed="false">
      <c r="A44" s="22"/>
      <c r="B44" s="22"/>
      <c r="C44" s="22"/>
      <c r="D44" s="22"/>
      <c r="E44" s="22"/>
      <c r="F44" s="22"/>
      <c r="G44" s="22"/>
    </row>
    <row r="45" customFormat="false" ht="12.75" hidden="false" customHeight="true" outlineLevel="0" collapsed="false">
      <c r="A45" s="22"/>
      <c r="B45" s="22"/>
      <c r="C45" s="22"/>
      <c r="D45" s="22"/>
      <c r="E45" s="22"/>
      <c r="F45" s="22"/>
      <c r="G45" s="22"/>
    </row>
    <row r="46" customFormat="false" ht="12.75" hidden="false" customHeight="true" outlineLevel="0" collapsed="false">
      <c r="A46" s="22"/>
      <c r="B46" s="22"/>
      <c r="C46" s="22"/>
      <c r="D46" s="22"/>
      <c r="E46" s="22"/>
      <c r="F46" s="22"/>
      <c r="G46" s="22"/>
    </row>
    <row r="47" customFormat="false" ht="12.75" hidden="false" customHeight="true" outlineLevel="0" collapsed="false">
      <c r="A47" s="22"/>
      <c r="B47" s="22"/>
      <c r="C47" s="22"/>
      <c r="D47" s="22"/>
      <c r="E47" s="22"/>
      <c r="F47" s="22"/>
      <c r="G47" s="22"/>
    </row>
    <row r="48" customFormat="false" ht="12.75" hidden="false" customHeight="true" outlineLevel="0" collapsed="false">
      <c r="A48" s="22"/>
      <c r="B48" s="22"/>
      <c r="C48" s="22"/>
      <c r="D48" s="22"/>
      <c r="E48" s="22"/>
      <c r="F48" s="22"/>
      <c r="G48" s="22"/>
    </row>
    <row r="49" customFormat="false" ht="12.75" hidden="false" customHeight="true" outlineLevel="0" collapsed="false">
      <c r="A49" s="22"/>
      <c r="B49" s="22"/>
      <c r="C49" s="22"/>
      <c r="D49" s="22"/>
      <c r="E49" s="22"/>
      <c r="F49" s="22"/>
      <c r="G49" s="22"/>
    </row>
    <row r="50" customFormat="false" ht="12.75" hidden="false" customHeight="true" outlineLevel="0" collapsed="false">
      <c r="A50" s="22"/>
      <c r="B50" s="22"/>
      <c r="C50" s="22"/>
      <c r="D50" s="22"/>
      <c r="E50" s="22"/>
      <c r="F50" s="22"/>
      <c r="G50" s="22"/>
    </row>
    <row r="51" customFormat="false" ht="12.75" hidden="false" customHeight="true" outlineLevel="0" collapsed="false">
      <c r="A51" s="22"/>
      <c r="B51" s="22"/>
      <c r="C51" s="22"/>
      <c r="D51" s="22"/>
      <c r="E51" s="22"/>
      <c r="F51" s="22"/>
      <c r="G51" s="22"/>
    </row>
    <row r="52" customFormat="false" ht="12.75" hidden="false" customHeight="true" outlineLevel="0" collapsed="false">
      <c r="A52" s="22"/>
      <c r="B52" s="22"/>
      <c r="C52" s="22"/>
      <c r="D52" s="22"/>
      <c r="E52" s="22"/>
      <c r="F52" s="22"/>
      <c r="G52" s="22"/>
    </row>
    <row r="53" customFormat="false" ht="12.75" hidden="false" customHeight="true" outlineLevel="0" collapsed="false">
      <c r="A53" s="22"/>
      <c r="B53" s="22"/>
      <c r="C53" s="22"/>
      <c r="D53" s="22"/>
      <c r="E53" s="22"/>
      <c r="F53" s="22"/>
      <c r="G53" s="22"/>
    </row>
    <row r="54" customFormat="false" ht="12.75" hidden="false" customHeight="true" outlineLevel="0" collapsed="false">
      <c r="A54" s="22"/>
      <c r="B54" s="22"/>
      <c r="C54" s="22"/>
      <c r="D54" s="22"/>
      <c r="E54" s="22"/>
      <c r="F54" s="22"/>
      <c r="G54" s="22"/>
    </row>
    <row r="55" customFormat="false" ht="12.75" hidden="false" customHeight="true" outlineLevel="0" collapsed="false">
      <c r="A55" s="22"/>
      <c r="B55" s="22"/>
      <c r="C55" s="22"/>
      <c r="D55" s="22"/>
      <c r="E55" s="22"/>
      <c r="F55" s="22"/>
      <c r="G55" s="22"/>
    </row>
    <row r="56" customFormat="false" ht="12.75" hidden="false" customHeight="true" outlineLevel="0" collapsed="false">
      <c r="A56" s="22"/>
      <c r="B56" s="22"/>
      <c r="C56" s="22"/>
      <c r="D56" s="22"/>
      <c r="E56" s="22"/>
      <c r="F56" s="22"/>
      <c r="G56" s="22"/>
    </row>
    <row r="57" customFormat="false" ht="12.75" hidden="false" customHeight="true" outlineLevel="0" collapsed="false">
      <c r="A57" s="22"/>
      <c r="B57" s="22"/>
      <c r="C57" s="22"/>
      <c r="D57" s="22"/>
      <c r="E57" s="22"/>
      <c r="F57" s="22"/>
      <c r="G57" s="22"/>
    </row>
    <row r="58" customFormat="false" ht="12.75" hidden="false" customHeight="true" outlineLevel="0" collapsed="false">
      <c r="A58" s="22"/>
      <c r="B58" s="22"/>
      <c r="C58" s="22"/>
      <c r="D58" s="22"/>
      <c r="E58" s="22"/>
      <c r="F58" s="22"/>
      <c r="G58" s="22"/>
    </row>
    <row r="59" customFormat="false" ht="12.75" hidden="false" customHeight="true" outlineLevel="0" collapsed="false">
      <c r="A59" s="22"/>
      <c r="B59" s="22"/>
      <c r="C59" s="22"/>
      <c r="D59" s="22"/>
      <c r="E59" s="22"/>
      <c r="F59" s="22"/>
      <c r="G59" s="22"/>
    </row>
    <row r="60" customFormat="false" ht="12.75" hidden="false" customHeight="true" outlineLevel="0" collapsed="false">
      <c r="A60" s="22"/>
      <c r="B60" s="22"/>
      <c r="C60" s="22"/>
      <c r="D60" s="22"/>
      <c r="E60" s="22"/>
      <c r="F60" s="22"/>
      <c r="G6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R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14"/>
    <col collapsed="false" customWidth="true" hidden="false" outlineLevel="0" max="2" min="2" style="1" width="36"/>
    <col collapsed="false" customWidth="true" hidden="false" outlineLevel="0" max="3" min="3" style="1" width="22"/>
    <col collapsed="false" customWidth="true" hidden="false" outlineLevel="0" max="4" min="4" style="1" width="28"/>
    <col collapsed="false" customWidth="true" hidden="false" outlineLevel="0" max="5" min="5" style="1" width="34"/>
    <col collapsed="false" customWidth="true" hidden="false" outlineLevel="0" max="6" min="6" style="1" width="36"/>
    <col collapsed="false" customWidth="true" hidden="false" outlineLevel="0" max="7" min="7" style="1" width="25"/>
    <col collapsed="false" customWidth="true" hidden="false" outlineLevel="0" max="8" min="8" style="1" width="14"/>
    <col collapsed="false" customWidth="true" hidden="false" outlineLevel="0" max="9" min="9" style="1" width="35"/>
    <col collapsed="false" customWidth="true" hidden="false" outlineLevel="0" max="12" min="10" style="1" width="36"/>
    <col collapsed="false" customWidth="true" hidden="false" outlineLevel="0" max="13" min="13" style="1" width="17.11"/>
    <col collapsed="false" customWidth="true" hidden="false" outlineLevel="0" max="14" min="14" style="1" width="45.56"/>
    <col collapsed="false" customWidth="true" hidden="false" outlineLevel="0" max="15" min="15" style="1" width="48.33"/>
    <col collapsed="false" customWidth="true" hidden="false" outlineLevel="0" max="16" min="16" style="1" width="14.88"/>
    <col collapsed="false" customWidth="true" hidden="false" outlineLevel="0" max="17" min="17" style="1" width="9.21"/>
    <col collapsed="false" customWidth="true" hidden="false" outlineLevel="0" max="18" min="18" style="1" width="7.11"/>
  </cols>
  <sheetData>
    <row r="1" customFormat="false" ht="26.25" hidden="false" customHeight="true" outlineLevel="0" collapsed="false">
      <c r="A1" s="21" t="s">
        <v>2809</v>
      </c>
      <c r="B1" s="21" t="s">
        <v>2810</v>
      </c>
      <c r="C1" s="21" t="s">
        <v>2811</v>
      </c>
      <c r="D1" s="21" t="s">
        <v>2812</v>
      </c>
      <c r="E1" s="21" t="s">
        <v>2813</v>
      </c>
      <c r="F1" s="21" t="s">
        <v>2814</v>
      </c>
      <c r="G1" s="21" t="s">
        <v>2815</v>
      </c>
      <c r="H1" s="21" t="s">
        <v>2816</v>
      </c>
      <c r="I1" s="21" t="s">
        <v>2817</v>
      </c>
      <c r="J1" s="21" t="s">
        <v>2818</v>
      </c>
      <c r="K1" s="21" t="s">
        <v>2819</v>
      </c>
      <c r="L1" s="21" t="s">
        <v>2820</v>
      </c>
      <c r="M1" s="21" t="s">
        <v>2821</v>
      </c>
      <c r="N1" s="21" t="s">
        <v>2822</v>
      </c>
      <c r="O1" s="21" t="s">
        <v>2823</v>
      </c>
      <c r="P1" s="21" t="s">
        <v>2824</v>
      </c>
      <c r="Q1" s="21" t="s">
        <v>2825</v>
      </c>
      <c r="R1" s="21" t="s">
        <v>2826</v>
      </c>
    </row>
    <row r="2" customFormat="false" ht="92.25" hidden="false" customHeight="true" outlineLevel="0" collapsed="false">
      <c r="A2" s="22" t="s">
        <v>2827</v>
      </c>
      <c r="B2" s="22" t="s">
        <v>2828</v>
      </c>
      <c r="C2" s="22" t="s">
        <v>2829</v>
      </c>
      <c r="D2" s="22" t="s">
        <v>2830</v>
      </c>
      <c r="E2" s="22" t="s">
        <v>2831</v>
      </c>
      <c r="F2" s="22" t="s">
        <v>2832</v>
      </c>
      <c r="G2" s="22" t="s">
        <v>2833</v>
      </c>
      <c r="H2" s="22" t="s">
        <v>379</v>
      </c>
      <c r="I2" s="22" t="s">
        <v>2834</v>
      </c>
      <c r="J2" s="22" t="s">
        <v>2835</v>
      </c>
      <c r="K2" s="22" t="s">
        <v>2836</v>
      </c>
      <c r="L2" s="22" t="s">
        <v>2837</v>
      </c>
      <c r="M2" s="22" t="s">
        <v>2838</v>
      </c>
      <c r="N2" s="22" t="s">
        <v>2839</v>
      </c>
      <c r="O2" s="22" t="s">
        <v>2840</v>
      </c>
      <c r="P2" s="22" t="s">
        <v>2841</v>
      </c>
      <c r="Q2" s="22" t="s">
        <v>2655</v>
      </c>
      <c r="R2" s="22" t="s">
        <v>2842</v>
      </c>
    </row>
    <row r="3" customFormat="false" ht="12.75" hidden="false" customHeight="true" outlineLevel="0" collapsed="false">
      <c r="A3" s="22"/>
      <c r="B3" s="22"/>
      <c r="C3" s="22"/>
      <c r="D3" s="22"/>
      <c r="E3" s="22"/>
      <c r="F3" s="22"/>
      <c r="G3" s="22"/>
      <c r="H3" s="22"/>
      <c r="I3" s="22"/>
      <c r="J3" s="22"/>
      <c r="K3" s="22"/>
      <c r="L3" s="22"/>
      <c r="M3" s="22"/>
      <c r="N3" s="22"/>
      <c r="O3" s="22"/>
      <c r="P3" s="22"/>
      <c r="Q3" s="22"/>
      <c r="R3" s="22"/>
    </row>
    <row r="4" customFormat="false" ht="12.75" hidden="false" customHeight="true" outlineLevel="0" collapsed="false">
      <c r="A4" s="22"/>
      <c r="B4" s="22"/>
      <c r="C4" s="22"/>
      <c r="D4" s="22"/>
      <c r="E4" s="22"/>
      <c r="F4" s="22"/>
      <c r="G4" s="22"/>
      <c r="H4" s="22"/>
      <c r="I4" s="22"/>
      <c r="J4" s="22"/>
      <c r="K4" s="22"/>
      <c r="L4" s="22"/>
      <c r="M4" s="22"/>
      <c r="N4" s="22"/>
      <c r="O4" s="22"/>
      <c r="P4" s="22"/>
      <c r="Q4" s="22"/>
      <c r="R4" s="22"/>
    </row>
    <row r="5" customFormat="false" ht="12.75" hidden="false" customHeight="true" outlineLevel="0" collapsed="false">
      <c r="A5" s="22"/>
      <c r="B5" s="22"/>
      <c r="C5" s="22"/>
      <c r="D5" s="22"/>
      <c r="E5" s="22"/>
      <c r="F5" s="22"/>
      <c r="G5" s="22"/>
      <c r="H5" s="22"/>
      <c r="I5" s="22"/>
      <c r="J5" s="22"/>
      <c r="K5" s="22"/>
      <c r="L5" s="22"/>
      <c r="M5" s="22"/>
      <c r="N5" s="22"/>
      <c r="O5" s="22"/>
      <c r="P5" s="22"/>
      <c r="Q5" s="22"/>
      <c r="R5" s="22"/>
    </row>
    <row r="6" customFormat="false" ht="12.75" hidden="false" customHeight="true" outlineLevel="0" collapsed="false">
      <c r="A6" s="22"/>
      <c r="B6" s="22"/>
      <c r="C6" s="22"/>
      <c r="D6" s="22"/>
      <c r="E6" s="22"/>
      <c r="F6" s="22"/>
      <c r="G6" s="22"/>
      <c r="H6" s="22"/>
      <c r="I6" s="22"/>
      <c r="J6" s="22"/>
      <c r="K6" s="22"/>
      <c r="L6" s="22"/>
      <c r="M6" s="22"/>
      <c r="N6" s="22"/>
      <c r="O6" s="22"/>
      <c r="P6" s="22"/>
      <c r="Q6" s="22"/>
      <c r="R6" s="22"/>
    </row>
    <row r="7" customFormat="false" ht="12.75" hidden="false" customHeight="true" outlineLevel="0" collapsed="false">
      <c r="A7" s="22"/>
      <c r="B7" s="22"/>
      <c r="C7" s="22"/>
      <c r="D7" s="22"/>
      <c r="E7" s="22"/>
      <c r="F7" s="22"/>
      <c r="G7" s="22"/>
      <c r="H7" s="22"/>
      <c r="I7" s="22"/>
      <c r="J7" s="22"/>
      <c r="K7" s="22"/>
      <c r="L7" s="22"/>
      <c r="M7" s="22"/>
      <c r="N7" s="22"/>
      <c r="O7" s="22"/>
      <c r="P7" s="22"/>
      <c r="Q7" s="22"/>
      <c r="R7" s="22"/>
    </row>
    <row r="8" customFormat="false" ht="12.75" hidden="false" customHeight="true" outlineLevel="0" collapsed="false">
      <c r="A8" s="22"/>
      <c r="B8" s="22"/>
      <c r="C8" s="22"/>
      <c r="D8" s="22"/>
      <c r="E8" s="22"/>
      <c r="F8" s="22"/>
      <c r="G8" s="22"/>
      <c r="H8" s="22"/>
      <c r="I8" s="22"/>
      <c r="J8" s="22"/>
      <c r="K8" s="22"/>
      <c r="L8" s="22"/>
      <c r="M8" s="22"/>
      <c r="N8" s="22"/>
      <c r="O8" s="22"/>
      <c r="P8" s="22"/>
      <c r="Q8" s="22"/>
      <c r="R8" s="22"/>
    </row>
    <row r="9" customFormat="false" ht="12.75" hidden="false" customHeight="true" outlineLevel="0" collapsed="false">
      <c r="A9" s="22"/>
      <c r="B9" s="22"/>
      <c r="C9" s="22"/>
      <c r="D9" s="22"/>
      <c r="E9" s="22"/>
      <c r="F9" s="22"/>
      <c r="G9" s="22"/>
      <c r="H9" s="22"/>
      <c r="I9" s="22"/>
      <c r="J9" s="22"/>
      <c r="K9" s="22"/>
      <c r="L9" s="22"/>
      <c r="M9" s="22"/>
      <c r="N9" s="22"/>
      <c r="O9" s="22"/>
      <c r="P9" s="22"/>
      <c r="Q9" s="22"/>
      <c r="R9" s="22"/>
    </row>
    <row r="10" customFormat="false" ht="12.75" hidden="false" customHeight="true" outlineLevel="0" collapsed="false">
      <c r="A10" s="22"/>
      <c r="B10" s="22"/>
      <c r="C10" s="22"/>
      <c r="D10" s="22"/>
      <c r="E10" s="22"/>
      <c r="F10" s="22"/>
      <c r="G10" s="22"/>
      <c r="H10" s="22"/>
      <c r="I10" s="22"/>
      <c r="J10" s="22"/>
      <c r="K10" s="22"/>
      <c r="L10" s="22"/>
      <c r="M10" s="22"/>
      <c r="N10" s="22"/>
      <c r="O10" s="22"/>
      <c r="P10" s="22"/>
      <c r="Q10" s="22"/>
      <c r="R10" s="22"/>
    </row>
    <row r="11" customFormat="false" ht="12.75" hidden="false" customHeight="true" outlineLevel="0" collapsed="false">
      <c r="A11" s="22"/>
      <c r="B11" s="22"/>
      <c r="C11" s="22"/>
      <c r="D11" s="22"/>
      <c r="E11" s="22"/>
      <c r="F11" s="22"/>
      <c r="G11" s="22"/>
      <c r="H11" s="22"/>
      <c r="I11" s="22"/>
      <c r="J11" s="22"/>
      <c r="K11" s="22"/>
      <c r="L11" s="22"/>
      <c r="M11" s="22"/>
      <c r="N11" s="22"/>
      <c r="O11" s="22"/>
      <c r="P11" s="22"/>
      <c r="Q11" s="22"/>
      <c r="R11" s="22"/>
    </row>
    <row r="12" customFormat="false" ht="12.75" hidden="false" customHeight="true" outlineLevel="0" collapsed="false">
      <c r="A12" s="22"/>
      <c r="B12" s="22"/>
      <c r="C12" s="22"/>
      <c r="D12" s="22"/>
      <c r="E12" s="22"/>
      <c r="F12" s="22"/>
      <c r="G12" s="22"/>
      <c r="H12" s="22"/>
      <c r="I12" s="22"/>
      <c r="J12" s="22"/>
      <c r="K12" s="22"/>
      <c r="L12" s="22"/>
      <c r="M12" s="22"/>
      <c r="N12" s="22"/>
      <c r="O12" s="22"/>
      <c r="P12" s="22"/>
      <c r="Q12" s="22"/>
      <c r="R12" s="22"/>
    </row>
    <row r="13" customFormat="false" ht="12.75" hidden="false" customHeight="true" outlineLevel="0" collapsed="false">
      <c r="A13" s="22"/>
      <c r="B13" s="22"/>
      <c r="C13" s="22"/>
      <c r="D13" s="22"/>
      <c r="E13" s="22"/>
      <c r="F13" s="22"/>
      <c r="G13" s="22"/>
      <c r="H13" s="22"/>
      <c r="I13" s="22"/>
      <c r="J13" s="22"/>
      <c r="K13" s="22"/>
      <c r="L13" s="22"/>
      <c r="M13" s="22"/>
      <c r="N13" s="22"/>
      <c r="O13" s="22"/>
      <c r="P13" s="22"/>
      <c r="Q13" s="22"/>
      <c r="R13" s="22"/>
    </row>
    <row r="14" customFormat="false" ht="12.75" hidden="false" customHeight="true" outlineLevel="0" collapsed="false">
      <c r="A14" s="22"/>
      <c r="B14" s="22"/>
      <c r="C14" s="22"/>
      <c r="D14" s="22"/>
      <c r="E14" s="22"/>
      <c r="F14" s="22"/>
      <c r="G14" s="22"/>
      <c r="H14" s="22"/>
      <c r="I14" s="22"/>
      <c r="J14" s="22"/>
      <c r="K14" s="22"/>
      <c r="L14" s="22"/>
      <c r="M14" s="22"/>
      <c r="N14" s="22"/>
      <c r="O14" s="22"/>
      <c r="P14" s="22"/>
      <c r="Q14" s="22"/>
      <c r="R14" s="22"/>
    </row>
    <row r="15" customFormat="false" ht="12.75" hidden="false" customHeight="true" outlineLevel="0" collapsed="false">
      <c r="A15" s="22"/>
      <c r="B15" s="22"/>
      <c r="C15" s="22"/>
      <c r="D15" s="22"/>
      <c r="E15" s="22"/>
      <c r="F15" s="22"/>
      <c r="G15" s="22"/>
      <c r="H15" s="22"/>
      <c r="I15" s="22"/>
      <c r="J15" s="22"/>
      <c r="K15" s="22"/>
      <c r="L15" s="22"/>
      <c r="M15" s="22"/>
      <c r="N15" s="22"/>
      <c r="O15" s="22"/>
      <c r="P15" s="22"/>
      <c r="Q15" s="22"/>
      <c r="R15" s="22"/>
    </row>
    <row r="16" customFormat="false" ht="12.75" hidden="false" customHeight="true" outlineLevel="0" collapsed="false">
      <c r="A16" s="22"/>
      <c r="B16" s="22"/>
      <c r="C16" s="22"/>
      <c r="D16" s="22"/>
      <c r="E16" s="22"/>
      <c r="F16" s="22"/>
      <c r="G16" s="22"/>
      <c r="H16" s="22"/>
      <c r="I16" s="22"/>
      <c r="J16" s="22"/>
      <c r="K16" s="22"/>
      <c r="L16" s="22"/>
      <c r="M16" s="22"/>
      <c r="N16" s="22"/>
      <c r="O16" s="22"/>
      <c r="P16" s="22"/>
      <c r="Q16" s="22"/>
      <c r="R16" s="22"/>
    </row>
    <row r="17" customFormat="false" ht="12.75" hidden="false" customHeight="true" outlineLevel="0" collapsed="false">
      <c r="A17" s="22"/>
      <c r="B17" s="22"/>
      <c r="C17" s="22"/>
      <c r="D17" s="22"/>
      <c r="E17" s="22"/>
      <c r="F17" s="22"/>
      <c r="G17" s="22"/>
      <c r="H17" s="22"/>
      <c r="I17" s="22"/>
      <c r="J17" s="22"/>
      <c r="K17" s="22"/>
      <c r="L17" s="22"/>
      <c r="M17" s="22"/>
      <c r="N17" s="22"/>
      <c r="O17" s="22"/>
      <c r="P17" s="22"/>
      <c r="Q17" s="22"/>
      <c r="R17" s="22"/>
    </row>
    <row r="18" customFormat="false" ht="12.75" hidden="false" customHeight="true" outlineLevel="0" collapsed="false">
      <c r="A18" s="22"/>
      <c r="B18" s="22"/>
      <c r="C18" s="22"/>
      <c r="D18" s="22"/>
      <c r="E18" s="22"/>
      <c r="F18" s="22"/>
      <c r="G18" s="22"/>
      <c r="H18" s="22"/>
      <c r="I18" s="22"/>
      <c r="J18" s="22"/>
      <c r="K18" s="22"/>
      <c r="L18" s="22"/>
      <c r="M18" s="22"/>
      <c r="N18" s="22"/>
      <c r="O18" s="22"/>
      <c r="P18" s="22"/>
      <c r="Q18" s="22"/>
      <c r="R18" s="22"/>
    </row>
    <row r="19" customFormat="false" ht="12.75" hidden="false" customHeight="true" outlineLevel="0" collapsed="false">
      <c r="A19" s="22"/>
      <c r="B19" s="22"/>
      <c r="C19" s="22"/>
      <c r="D19" s="22"/>
      <c r="E19" s="22"/>
      <c r="F19" s="22"/>
      <c r="G19" s="22"/>
      <c r="H19" s="22"/>
      <c r="I19" s="22"/>
      <c r="J19" s="22"/>
      <c r="K19" s="22"/>
      <c r="L19" s="22"/>
      <c r="M19" s="22"/>
      <c r="N19" s="22"/>
      <c r="O19" s="22"/>
      <c r="P19" s="22"/>
      <c r="Q19" s="22"/>
      <c r="R19" s="22"/>
    </row>
    <row r="20" customFormat="false" ht="12.75" hidden="false" customHeight="true" outlineLevel="0" collapsed="false">
      <c r="A20" s="22"/>
      <c r="B20" s="22"/>
      <c r="C20" s="22"/>
      <c r="D20" s="22"/>
      <c r="E20" s="22"/>
      <c r="F20" s="22"/>
      <c r="G20" s="22"/>
      <c r="H20" s="22"/>
      <c r="I20" s="22"/>
      <c r="J20" s="22"/>
      <c r="K20" s="22"/>
      <c r="L20" s="22"/>
      <c r="M20" s="22"/>
      <c r="N20" s="22"/>
      <c r="O20" s="22"/>
      <c r="P20" s="22"/>
      <c r="Q20" s="22"/>
      <c r="R2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4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16"/>
    <col collapsed="false" customWidth="true" hidden="false" outlineLevel="0" max="2" min="2" style="1" width="21"/>
    <col collapsed="false" customWidth="true" hidden="false" outlineLevel="0" max="3" min="3" style="1" width="30"/>
    <col collapsed="false" customWidth="true" hidden="false" outlineLevel="0" max="4" min="4" style="1" width="36"/>
    <col collapsed="false" customWidth="true" hidden="false" outlineLevel="0" max="5" min="5" style="1" width="15"/>
    <col collapsed="false" customWidth="true" hidden="false" outlineLevel="0" max="6" min="6" style="1" width="36"/>
    <col collapsed="false" customWidth="true" hidden="false" outlineLevel="0" max="7" min="7" style="1" width="32"/>
    <col collapsed="false" customWidth="true" hidden="false" outlineLevel="0" max="8" min="8" style="1" width="16"/>
    <col collapsed="false" customWidth="true" hidden="false" outlineLevel="0" max="9" min="9" style="1" width="15"/>
    <col collapsed="false" customWidth="true" hidden="false" outlineLevel="0" max="10" min="10" style="1" width="36"/>
  </cols>
  <sheetData>
    <row r="1" customFormat="false" ht="26.25" hidden="false" customHeight="true" outlineLevel="0" collapsed="false">
      <c r="A1" s="21" t="s">
        <v>2843</v>
      </c>
      <c r="B1" s="21" t="s">
        <v>2844</v>
      </c>
      <c r="C1" s="21" t="s">
        <v>2774</v>
      </c>
      <c r="D1" s="21" t="s">
        <v>2775</v>
      </c>
      <c r="E1" s="21" t="s">
        <v>2845</v>
      </c>
      <c r="F1" s="21" t="s">
        <v>2846</v>
      </c>
      <c r="G1" s="21" t="s">
        <v>2847</v>
      </c>
      <c r="H1" s="21" t="s">
        <v>2848</v>
      </c>
      <c r="I1" s="21" t="s">
        <v>2849</v>
      </c>
      <c r="J1" s="21" t="s">
        <v>2850</v>
      </c>
    </row>
    <row r="2" customFormat="false" ht="26.25" hidden="false" customHeight="true" outlineLevel="0" collapsed="false">
      <c r="A2" s="22" t="s">
        <v>2851</v>
      </c>
      <c r="B2" s="22" t="s">
        <v>2827</v>
      </c>
      <c r="C2" s="22" t="s">
        <v>2852</v>
      </c>
      <c r="D2" s="22" t="s">
        <v>2853</v>
      </c>
      <c r="E2" s="22" t="s">
        <v>348</v>
      </c>
      <c r="F2" s="22" t="s">
        <v>2854</v>
      </c>
      <c r="G2" s="22" t="s">
        <v>2855</v>
      </c>
      <c r="H2" s="22"/>
      <c r="I2" s="22" t="s">
        <v>2856</v>
      </c>
      <c r="J2" s="22" t="s">
        <v>2857</v>
      </c>
    </row>
    <row r="3" customFormat="false" ht="26.25" hidden="false" customHeight="true" outlineLevel="0" collapsed="false">
      <c r="A3" s="22" t="s">
        <v>2858</v>
      </c>
      <c r="B3" s="22" t="s">
        <v>2859</v>
      </c>
      <c r="C3" s="22" t="s">
        <v>2860</v>
      </c>
      <c r="D3" s="22" t="s">
        <v>2861</v>
      </c>
      <c r="E3" s="22" t="s">
        <v>2862</v>
      </c>
      <c r="F3" s="22" t="s">
        <v>2863</v>
      </c>
      <c r="G3" s="22" t="s">
        <v>2864</v>
      </c>
      <c r="H3" s="22"/>
      <c r="I3" s="22" t="s">
        <v>2856</v>
      </c>
      <c r="J3" s="22" t="s">
        <v>2865</v>
      </c>
    </row>
    <row r="4" customFormat="false" ht="12.75" hidden="false" customHeight="true" outlineLevel="0" collapsed="false">
      <c r="A4" s="22"/>
      <c r="B4" s="22"/>
      <c r="C4" s="22"/>
      <c r="D4" s="22"/>
      <c r="E4" s="22"/>
      <c r="F4" s="22"/>
      <c r="G4" s="22"/>
      <c r="H4" s="22"/>
      <c r="I4" s="22"/>
      <c r="J4" s="22"/>
    </row>
    <row r="5" customFormat="false" ht="12.75" hidden="false" customHeight="true" outlineLevel="0" collapsed="false">
      <c r="A5" s="22"/>
      <c r="B5" s="22"/>
      <c r="C5" s="22"/>
      <c r="D5" s="22"/>
      <c r="E5" s="22"/>
      <c r="F5" s="22"/>
      <c r="G5" s="22"/>
      <c r="H5" s="22"/>
      <c r="I5" s="22"/>
      <c r="J5" s="22"/>
    </row>
    <row r="6" customFormat="false" ht="12.75" hidden="false" customHeight="true" outlineLevel="0" collapsed="false">
      <c r="A6" s="22"/>
      <c r="B6" s="22"/>
      <c r="C6" s="22"/>
      <c r="D6" s="22"/>
      <c r="E6" s="22"/>
      <c r="F6" s="22"/>
      <c r="G6" s="22"/>
      <c r="H6" s="22"/>
      <c r="I6" s="22"/>
      <c r="J6" s="22"/>
    </row>
    <row r="7" customFormat="false" ht="12.75" hidden="false" customHeight="true" outlineLevel="0" collapsed="false">
      <c r="A7" s="22"/>
      <c r="B7" s="22"/>
      <c r="C7" s="22"/>
      <c r="D7" s="22"/>
      <c r="E7" s="22"/>
      <c r="F7" s="22"/>
      <c r="G7" s="22"/>
      <c r="H7" s="22"/>
      <c r="I7" s="22"/>
      <c r="J7" s="22"/>
    </row>
    <row r="8" customFormat="false" ht="12.75" hidden="false" customHeight="true" outlineLevel="0" collapsed="false">
      <c r="A8" s="22"/>
      <c r="B8" s="22"/>
      <c r="C8" s="22"/>
      <c r="D8" s="22"/>
      <c r="E8" s="22"/>
      <c r="F8" s="22"/>
      <c r="G8" s="22"/>
      <c r="H8" s="22"/>
      <c r="I8" s="22"/>
      <c r="J8" s="22"/>
    </row>
    <row r="9" customFormat="false" ht="12.75" hidden="false" customHeight="true" outlineLevel="0" collapsed="false">
      <c r="A9" s="22"/>
      <c r="B9" s="22"/>
      <c r="C9" s="22"/>
      <c r="D9" s="22"/>
      <c r="E9" s="22"/>
      <c r="F9" s="22"/>
      <c r="G9" s="22"/>
      <c r="H9" s="22"/>
      <c r="I9" s="22"/>
      <c r="J9" s="22"/>
    </row>
    <row r="10" customFormat="false" ht="12.75" hidden="false" customHeight="true" outlineLevel="0" collapsed="false">
      <c r="A10" s="22"/>
      <c r="B10" s="22"/>
      <c r="C10" s="22"/>
      <c r="D10" s="22"/>
      <c r="E10" s="22"/>
      <c r="F10" s="22"/>
      <c r="G10" s="22"/>
      <c r="H10" s="22"/>
      <c r="I10" s="22"/>
      <c r="J10" s="22"/>
    </row>
    <row r="11" customFormat="false" ht="12.75" hidden="false" customHeight="true" outlineLevel="0" collapsed="false">
      <c r="A11" s="22"/>
      <c r="B11" s="22"/>
      <c r="C11" s="22"/>
      <c r="D11" s="22"/>
      <c r="E11" s="22"/>
      <c r="F11" s="22"/>
      <c r="G11" s="22"/>
      <c r="H11" s="22"/>
      <c r="I11" s="22"/>
      <c r="J11" s="22"/>
    </row>
    <row r="12" customFormat="false" ht="12.75" hidden="false" customHeight="true" outlineLevel="0" collapsed="false">
      <c r="A12" s="22"/>
      <c r="B12" s="22"/>
      <c r="C12" s="22"/>
      <c r="D12" s="22"/>
      <c r="E12" s="22"/>
      <c r="F12" s="22"/>
      <c r="G12" s="22"/>
      <c r="H12" s="22"/>
      <c r="I12" s="22"/>
      <c r="J12" s="22"/>
    </row>
    <row r="13" customFormat="false" ht="12.75" hidden="false" customHeight="true" outlineLevel="0" collapsed="false">
      <c r="A13" s="22"/>
      <c r="B13" s="22"/>
      <c r="C13" s="22"/>
      <c r="D13" s="22"/>
      <c r="E13" s="22"/>
      <c r="F13" s="22"/>
      <c r="G13" s="22"/>
      <c r="H13" s="22"/>
      <c r="I13" s="22"/>
      <c r="J13" s="22"/>
    </row>
    <row r="14" customFormat="false" ht="12.75" hidden="false" customHeight="true" outlineLevel="0" collapsed="false">
      <c r="A14" s="22"/>
      <c r="B14" s="22"/>
      <c r="C14" s="22"/>
      <c r="D14" s="22"/>
      <c r="E14" s="22"/>
      <c r="F14" s="22"/>
      <c r="G14" s="22"/>
      <c r="H14" s="22"/>
      <c r="I14" s="22"/>
      <c r="J14" s="22"/>
    </row>
    <row r="15" customFormat="false" ht="12.75" hidden="false" customHeight="true" outlineLevel="0" collapsed="false">
      <c r="A15" s="22"/>
      <c r="B15" s="22"/>
      <c r="C15" s="22"/>
      <c r="D15" s="22"/>
      <c r="E15" s="22"/>
      <c r="F15" s="22"/>
      <c r="G15" s="22"/>
      <c r="H15" s="22"/>
      <c r="I15" s="22"/>
      <c r="J15" s="22"/>
    </row>
    <row r="16" customFormat="false" ht="12.75" hidden="false" customHeight="true" outlineLevel="0" collapsed="false">
      <c r="A16" s="22"/>
      <c r="B16" s="22"/>
      <c r="C16" s="22"/>
      <c r="D16" s="22"/>
      <c r="E16" s="22"/>
      <c r="F16" s="22"/>
      <c r="G16" s="22"/>
      <c r="H16" s="22"/>
      <c r="I16" s="22"/>
      <c r="J16" s="22"/>
    </row>
    <row r="17" customFormat="false" ht="12.75" hidden="false" customHeight="true" outlineLevel="0" collapsed="false">
      <c r="A17" s="22"/>
      <c r="B17" s="22"/>
      <c r="C17" s="22"/>
      <c r="D17" s="22"/>
      <c r="E17" s="22"/>
      <c r="F17" s="22"/>
      <c r="G17" s="22"/>
      <c r="H17" s="22"/>
      <c r="I17" s="22"/>
      <c r="J17" s="22"/>
    </row>
    <row r="18" customFormat="false" ht="12.75" hidden="false" customHeight="true" outlineLevel="0" collapsed="false">
      <c r="A18" s="22"/>
      <c r="B18" s="22"/>
      <c r="C18" s="22"/>
      <c r="D18" s="22"/>
      <c r="E18" s="22"/>
      <c r="F18" s="22"/>
      <c r="G18" s="22"/>
      <c r="H18" s="22"/>
      <c r="I18" s="22"/>
      <c r="J18" s="22"/>
    </row>
    <row r="19" customFormat="false" ht="12.75" hidden="false" customHeight="true" outlineLevel="0" collapsed="false">
      <c r="A19" s="22"/>
      <c r="B19" s="22"/>
      <c r="C19" s="22"/>
      <c r="D19" s="22"/>
      <c r="E19" s="22"/>
      <c r="F19" s="22"/>
      <c r="G19" s="22"/>
      <c r="H19" s="22"/>
      <c r="I19" s="22"/>
      <c r="J19" s="22"/>
    </row>
    <row r="20" customFormat="false" ht="12.75" hidden="false" customHeight="true" outlineLevel="0" collapsed="false">
      <c r="A20" s="22"/>
      <c r="B20" s="22"/>
      <c r="C20" s="22"/>
      <c r="D20" s="22"/>
      <c r="E20" s="22"/>
      <c r="F20" s="22"/>
      <c r="G20" s="22"/>
      <c r="H20" s="22"/>
      <c r="I20" s="22"/>
      <c r="J20" s="22"/>
    </row>
    <row r="21" customFormat="false" ht="12.75" hidden="false" customHeight="true" outlineLevel="0" collapsed="false">
      <c r="A21" s="22"/>
      <c r="B21" s="22"/>
      <c r="C21" s="22"/>
      <c r="D21" s="22"/>
      <c r="E21" s="22"/>
      <c r="F21" s="22"/>
      <c r="G21" s="22"/>
      <c r="H21" s="22"/>
      <c r="I21" s="22"/>
      <c r="J21" s="22"/>
    </row>
    <row r="22" customFormat="false" ht="12.75" hidden="false" customHeight="true" outlineLevel="0" collapsed="false">
      <c r="A22" s="22"/>
      <c r="B22" s="22"/>
      <c r="C22" s="22"/>
      <c r="D22" s="22"/>
      <c r="E22" s="22"/>
      <c r="F22" s="22"/>
      <c r="G22" s="22"/>
      <c r="H22" s="22"/>
      <c r="I22" s="22"/>
      <c r="J22" s="22"/>
    </row>
    <row r="23" customFormat="false" ht="12.75" hidden="false" customHeight="true" outlineLevel="0" collapsed="false">
      <c r="A23" s="22"/>
      <c r="B23" s="22"/>
      <c r="C23" s="22"/>
      <c r="D23" s="22"/>
      <c r="E23" s="22"/>
      <c r="F23" s="22"/>
      <c r="G23" s="22"/>
      <c r="H23" s="22"/>
      <c r="I23" s="22"/>
      <c r="J23" s="22"/>
    </row>
    <row r="24" customFormat="false" ht="12.75" hidden="false" customHeight="true" outlineLevel="0" collapsed="false">
      <c r="A24" s="22"/>
      <c r="B24" s="22"/>
      <c r="C24" s="22"/>
      <c r="D24" s="22"/>
      <c r="E24" s="22"/>
      <c r="F24" s="22"/>
      <c r="G24" s="22"/>
      <c r="H24" s="22"/>
      <c r="I24" s="22"/>
      <c r="J24" s="22"/>
    </row>
    <row r="25" customFormat="false" ht="12.75" hidden="false" customHeight="true" outlineLevel="0" collapsed="false">
      <c r="A25" s="22"/>
      <c r="B25" s="22"/>
      <c r="C25" s="22"/>
      <c r="D25" s="22"/>
      <c r="E25" s="22"/>
      <c r="F25" s="22"/>
      <c r="G25" s="22"/>
      <c r="H25" s="22"/>
      <c r="I25" s="22"/>
      <c r="J25" s="22"/>
    </row>
    <row r="26" customFormat="false" ht="12.75" hidden="false" customHeight="true" outlineLevel="0" collapsed="false">
      <c r="A26" s="22"/>
      <c r="B26" s="22"/>
      <c r="C26" s="22"/>
      <c r="D26" s="22"/>
      <c r="E26" s="22"/>
      <c r="F26" s="22"/>
      <c r="G26" s="22"/>
      <c r="H26" s="22"/>
      <c r="I26" s="22"/>
      <c r="J26" s="22"/>
    </row>
    <row r="27" customFormat="false" ht="12.75" hidden="false" customHeight="true" outlineLevel="0" collapsed="false">
      <c r="A27" s="22"/>
      <c r="B27" s="22"/>
      <c r="C27" s="22"/>
      <c r="D27" s="22"/>
      <c r="E27" s="22"/>
      <c r="F27" s="22"/>
      <c r="G27" s="22"/>
      <c r="H27" s="22"/>
      <c r="I27" s="22"/>
      <c r="J27" s="22"/>
    </row>
    <row r="28" customFormat="false" ht="12.75" hidden="false" customHeight="true" outlineLevel="0" collapsed="false">
      <c r="A28" s="22"/>
      <c r="B28" s="22"/>
      <c r="C28" s="22"/>
      <c r="D28" s="22"/>
      <c r="E28" s="22"/>
      <c r="F28" s="22"/>
      <c r="G28" s="22"/>
      <c r="H28" s="22"/>
      <c r="I28" s="22"/>
      <c r="J28" s="22"/>
    </row>
    <row r="29" customFormat="false" ht="12.75" hidden="false" customHeight="true" outlineLevel="0" collapsed="false">
      <c r="A29" s="22"/>
      <c r="B29" s="22"/>
      <c r="C29" s="22"/>
      <c r="D29" s="22"/>
      <c r="E29" s="22"/>
      <c r="F29" s="22"/>
      <c r="G29" s="22"/>
      <c r="H29" s="22"/>
      <c r="I29" s="22"/>
      <c r="J29" s="22"/>
    </row>
    <row r="30" customFormat="false" ht="12.75" hidden="false" customHeight="true" outlineLevel="0" collapsed="false">
      <c r="A30" s="22"/>
      <c r="B30" s="22"/>
      <c r="C30" s="22"/>
      <c r="D30" s="22"/>
      <c r="E30" s="22"/>
      <c r="F30" s="22"/>
      <c r="G30" s="22"/>
      <c r="H30" s="22"/>
      <c r="I30" s="22"/>
      <c r="J30" s="22"/>
    </row>
    <row r="31" customFormat="false" ht="12.75" hidden="false" customHeight="true" outlineLevel="0" collapsed="false">
      <c r="A31" s="22"/>
      <c r="B31" s="22"/>
      <c r="C31" s="22"/>
      <c r="D31" s="22"/>
      <c r="E31" s="22"/>
      <c r="F31" s="22"/>
      <c r="G31" s="22"/>
      <c r="H31" s="22"/>
      <c r="I31" s="22"/>
      <c r="J31" s="22"/>
    </row>
    <row r="32" customFormat="false" ht="12.75" hidden="false" customHeight="true" outlineLevel="0" collapsed="false">
      <c r="A32" s="22"/>
      <c r="B32" s="22"/>
      <c r="C32" s="22"/>
      <c r="D32" s="22"/>
      <c r="E32" s="22"/>
      <c r="F32" s="22"/>
      <c r="G32" s="22"/>
      <c r="H32" s="22"/>
      <c r="I32" s="22"/>
      <c r="J32" s="22"/>
    </row>
    <row r="33" customFormat="false" ht="12.75" hidden="false" customHeight="true" outlineLevel="0" collapsed="false">
      <c r="A33" s="22"/>
      <c r="B33" s="22"/>
      <c r="C33" s="22"/>
      <c r="D33" s="22"/>
      <c r="E33" s="22"/>
      <c r="F33" s="22"/>
      <c r="G33" s="22"/>
      <c r="H33" s="22"/>
      <c r="I33" s="22"/>
      <c r="J33" s="22"/>
    </row>
    <row r="34" customFormat="false" ht="12.75" hidden="false" customHeight="true" outlineLevel="0" collapsed="false">
      <c r="A34" s="22"/>
      <c r="B34" s="22"/>
      <c r="C34" s="22"/>
      <c r="D34" s="22"/>
      <c r="E34" s="22"/>
      <c r="F34" s="22"/>
      <c r="G34" s="22"/>
      <c r="H34" s="22"/>
      <c r="I34" s="22"/>
      <c r="J34" s="22"/>
    </row>
    <row r="35" customFormat="false" ht="12.75" hidden="false" customHeight="true" outlineLevel="0" collapsed="false">
      <c r="A35" s="22"/>
      <c r="B35" s="22"/>
      <c r="C35" s="22"/>
      <c r="D35" s="22"/>
      <c r="E35" s="22"/>
      <c r="F35" s="22"/>
      <c r="G35" s="22"/>
      <c r="H35" s="22"/>
      <c r="I35" s="22"/>
      <c r="J35" s="22"/>
    </row>
    <row r="36" customFormat="false" ht="12.75" hidden="false" customHeight="true" outlineLevel="0" collapsed="false">
      <c r="A36" s="22"/>
      <c r="B36" s="22"/>
      <c r="C36" s="22"/>
      <c r="D36" s="22"/>
      <c r="E36" s="22"/>
      <c r="F36" s="22"/>
      <c r="G36" s="22"/>
      <c r="H36" s="22"/>
      <c r="I36" s="22"/>
      <c r="J36" s="22"/>
    </row>
    <row r="37" customFormat="false" ht="12.75" hidden="false" customHeight="true" outlineLevel="0" collapsed="false">
      <c r="A37" s="22"/>
      <c r="B37" s="22"/>
      <c r="C37" s="22"/>
      <c r="D37" s="22"/>
      <c r="E37" s="22"/>
      <c r="F37" s="22"/>
      <c r="G37" s="22"/>
      <c r="H37" s="22"/>
      <c r="I37" s="22"/>
      <c r="J37" s="22"/>
    </row>
    <row r="38" customFormat="false" ht="12.75" hidden="false" customHeight="true" outlineLevel="0" collapsed="false">
      <c r="A38" s="22"/>
      <c r="B38" s="22"/>
      <c r="C38" s="22"/>
      <c r="D38" s="22"/>
      <c r="E38" s="22"/>
      <c r="F38" s="22"/>
      <c r="G38" s="22"/>
      <c r="H38" s="22"/>
      <c r="I38" s="22"/>
      <c r="J38" s="22"/>
    </row>
    <row r="39" customFormat="false" ht="12.75" hidden="false" customHeight="true" outlineLevel="0" collapsed="false">
      <c r="A39" s="22"/>
      <c r="B39" s="22"/>
      <c r="C39" s="22"/>
      <c r="D39" s="22"/>
      <c r="E39" s="22"/>
      <c r="F39" s="22"/>
      <c r="G39" s="22"/>
      <c r="H39" s="22"/>
      <c r="I39" s="22"/>
      <c r="J39" s="22"/>
    </row>
    <row r="40" customFormat="false" ht="12.75" hidden="false" customHeight="true" outlineLevel="0" collapsed="false">
      <c r="A40" s="22"/>
      <c r="B40" s="22"/>
      <c r="C40" s="22"/>
      <c r="D40" s="22"/>
      <c r="E40" s="22"/>
      <c r="F40" s="22"/>
      <c r="G40" s="22"/>
      <c r="H40" s="22"/>
      <c r="I40" s="22"/>
      <c r="J4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4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11"/>
    <col collapsed="false" customWidth="true" hidden="false" outlineLevel="0" max="2" min="2" style="1" width="21"/>
    <col collapsed="false" customWidth="true" hidden="false" outlineLevel="0" max="7" min="3" style="1" width="36"/>
    <col collapsed="false" customWidth="true" hidden="false" outlineLevel="0" max="8" min="8" style="1" width="35"/>
  </cols>
  <sheetData>
    <row r="1" customFormat="false" ht="26.25" hidden="false" customHeight="true" outlineLevel="0" collapsed="false">
      <c r="A1" s="21" t="s">
        <v>2866</v>
      </c>
      <c r="B1" s="21" t="s">
        <v>2867</v>
      </c>
      <c r="C1" s="21" t="s">
        <v>2868</v>
      </c>
      <c r="D1" s="21" t="s">
        <v>2869</v>
      </c>
      <c r="E1" s="21" t="s">
        <v>2823</v>
      </c>
      <c r="F1" s="21" t="s">
        <v>2870</v>
      </c>
      <c r="G1" s="21" t="s">
        <v>2871</v>
      </c>
      <c r="H1" s="21" t="s">
        <v>2872</v>
      </c>
    </row>
    <row r="2" customFormat="false" ht="52.5" hidden="false" customHeight="true" outlineLevel="0" collapsed="false">
      <c r="A2" s="22" t="s">
        <v>2873</v>
      </c>
      <c r="B2" s="22" t="s">
        <v>2827</v>
      </c>
      <c r="C2" s="22" t="s">
        <v>2874</v>
      </c>
      <c r="D2" s="22" t="s">
        <v>2875</v>
      </c>
      <c r="E2" s="22" t="s">
        <v>2876</v>
      </c>
      <c r="F2" s="22" t="s">
        <v>2877</v>
      </c>
      <c r="G2" s="22" t="s">
        <v>2878</v>
      </c>
      <c r="H2" s="22" t="s">
        <v>2879</v>
      </c>
    </row>
    <row r="3" customFormat="false" ht="52.5" hidden="false" customHeight="true" outlineLevel="0" collapsed="false">
      <c r="A3" s="22" t="s">
        <v>2880</v>
      </c>
      <c r="B3" s="22" t="s">
        <v>2881</v>
      </c>
      <c r="C3" s="22" t="s">
        <v>2882</v>
      </c>
      <c r="D3" s="22" t="s">
        <v>2883</v>
      </c>
      <c r="E3" s="22" t="s">
        <v>2884</v>
      </c>
      <c r="F3" s="22" t="s">
        <v>2885</v>
      </c>
      <c r="G3" s="22" t="s">
        <v>2886</v>
      </c>
      <c r="H3" s="22" t="s">
        <v>2879</v>
      </c>
    </row>
    <row r="4" customFormat="false" ht="12.75" hidden="false" customHeight="true" outlineLevel="0" collapsed="false">
      <c r="A4" s="22"/>
      <c r="B4" s="22"/>
      <c r="C4" s="22"/>
      <c r="D4" s="22"/>
      <c r="E4" s="22"/>
      <c r="F4" s="22"/>
      <c r="G4" s="22"/>
      <c r="H4" s="22"/>
    </row>
    <row r="5" customFormat="false" ht="12.75" hidden="false" customHeight="true" outlineLevel="0" collapsed="false">
      <c r="A5" s="22"/>
      <c r="B5" s="22"/>
      <c r="C5" s="22"/>
      <c r="D5" s="22"/>
      <c r="E5" s="22"/>
      <c r="F5" s="22"/>
      <c r="G5" s="22"/>
      <c r="H5" s="22"/>
    </row>
    <row r="6" customFormat="false" ht="12.75" hidden="false" customHeight="true" outlineLevel="0" collapsed="false">
      <c r="A6" s="22"/>
      <c r="B6" s="22"/>
      <c r="C6" s="22"/>
      <c r="D6" s="22"/>
      <c r="E6" s="22"/>
      <c r="F6" s="22"/>
      <c r="G6" s="22"/>
      <c r="H6" s="22"/>
    </row>
    <row r="7" customFormat="false" ht="12.75" hidden="false" customHeight="true" outlineLevel="0" collapsed="false">
      <c r="A7" s="22"/>
      <c r="B7" s="22"/>
      <c r="C7" s="22"/>
      <c r="D7" s="22"/>
      <c r="E7" s="22"/>
      <c r="F7" s="22"/>
      <c r="G7" s="22"/>
      <c r="H7" s="22"/>
    </row>
    <row r="8" customFormat="false" ht="12.75" hidden="false" customHeight="true" outlineLevel="0" collapsed="false">
      <c r="A8" s="22"/>
      <c r="B8" s="22"/>
      <c r="C8" s="22"/>
      <c r="D8" s="22"/>
      <c r="E8" s="22"/>
      <c r="F8" s="22"/>
      <c r="G8" s="22"/>
      <c r="H8" s="22"/>
    </row>
    <row r="9" customFormat="false" ht="12.75" hidden="false" customHeight="true" outlineLevel="0" collapsed="false">
      <c r="A9" s="22"/>
      <c r="B9" s="22"/>
      <c r="C9" s="22"/>
      <c r="D9" s="22"/>
      <c r="E9" s="22"/>
      <c r="F9" s="22"/>
      <c r="G9" s="22"/>
      <c r="H9" s="22"/>
    </row>
    <row r="10" customFormat="false" ht="12.75" hidden="false" customHeight="true" outlineLevel="0" collapsed="false">
      <c r="A10" s="22"/>
      <c r="B10" s="22"/>
      <c r="C10" s="22"/>
      <c r="D10" s="22"/>
      <c r="E10" s="22"/>
      <c r="F10" s="22"/>
      <c r="G10" s="22"/>
      <c r="H10" s="22"/>
    </row>
    <row r="11" customFormat="false" ht="12.75" hidden="false" customHeight="true" outlineLevel="0" collapsed="false">
      <c r="A11" s="22"/>
      <c r="B11" s="22"/>
      <c r="C11" s="22"/>
      <c r="D11" s="22"/>
      <c r="E11" s="22"/>
      <c r="F11" s="22"/>
      <c r="G11" s="22"/>
      <c r="H11" s="22"/>
    </row>
    <row r="12" customFormat="false" ht="12.75" hidden="false" customHeight="true" outlineLevel="0" collapsed="false">
      <c r="A12" s="22"/>
      <c r="B12" s="22"/>
      <c r="C12" s="22"/>
      <c r="D12" s="22"/>
      <c r="E12" s="22"/>
      <c r="F12" s="22"/>
      <c r="G12" s="22"/>
      <c r="H12" s="22"/>
    </row>
    <row r="13" customFormat="false" ht="12.75" hidden="false" customHeight="true" outlineLevel="0" collapsed="false">
      <c r="A13" s="22"/>
      <c r="B13" s="22"/>
      <c r="C13" s="22"/>
      <c r="D13" s="22"/>
      <c r="E13" s="22"/>
      <c r="F13" s="22"/>
      <c r="G13" s="22"/>
      <c r="H13" s="22"/>
    </row>
    <row r="14" customFormat="false" ht="12.75" hidden="false" customHeight="true" outlineLevel="0" collapsed="false">
      <c r="A14" s="22"/>
      <c r="B14" s="22"/>
      <c r="C14" s="22"/>
      <c r="D14" s="22"/>
      <c r="E14" s="22"/>
      <c r="F14" s="22"/>
      <c r="G14" s="22"/>
      <c r="H14" s="22"/>
    </row>
    <row r="15" customFormat="false" ht="12.75" hidden="false" customHeight="true" outlineLevel="0" collapsed="false">
      <c r="A15" s="22"/>
      <c r="B15" s="22"/>
      <c r="C15" s="22"/>
      <c r="D15" s="22"/>
      <c r="E15" s="22"/>
      <c r="F15" s="22"/>
      <c r="G15" s="22"/>
      <c r="H15" s="22"/>
    </row>
    <row r="16" customFormat="false" ht="12.75" hidden="false" customHeight="true" outlineLevel="0" collapsed="false">
      <c r="A16" s="22"/>
      <c r="B16" s="22"/>
      <c r="C16" s="22"/>
      <c r="D16" s="22"/>
      <c r="E16" s="22"/>
      <c r="F16" s="22"/>
      <c r="G16" s="22"/>
      <c r="H16" s="22"/>
    </row>
    <row r="17" customFormat="false" ht="12.75" hidden="false" customHeight="true" outlineLevel="0" collapsed="false">
      <c r="A17" s="22"/>
      <c r="B17" s="22"/>
      <c r="C17" s="22"/>
      <c r="D17" s="22"/>
      <c r="E17" s="22"/>
      <c r="F17" s="22"/>
      <c r="G17" s="22"/>
      <c r="H17" s="22"/>
    </row>
    <row r="18" customFormat="false" ht="12.75" hidden="false" customHeight="true" outlineLevel="0" collapsed="false">
      <c r="A18" s="22"/>
      <c r="B18" s="22"/>
      <c r="C18" s="22"/>
      <c r="D18" s="22"/>
      <c r="E18" s="22"/>
      <c r="F18" s="22"/>
      <c r="G18" s="22"/>
      <c r="H18" s="22"/>
    </row>
    <row r="19" customFormat="false" ht="12.75" hidden="false" customHeight="true" outlineLevel="0" collapsed="false">
      <c r="A19" s="22"/>
      <c r="B19" s="22"/>
      <c r="C19" s="22"/>
      <c r="D19" s="22"/>
      <c r="E19" s="22"/>
      <c r="F19" s="22"/>
      <c r="G19" s="22"/>
      <c r="H19" s="22"/>
    </row>
    <row r="20" customFormat="false" ht="12.75" hidden="false" customHeight="true" outlineLevel="0" collapsed="false">
      <c r="A20" s="22"/>
      <c r="B20" s="22"/>
      <c r="C20" s="22"/>
      <c r="D20" s="22"/>
      <c r="E20" s="22"/>
      <c r="F20" s="22"/>
      <c r="G20" s="22"/>
      <c r="H20" s="22"/>
    </row>
    <row r="21" customFormat="false" ht="12.75" hidden="false" customHeight="true" outlineLevel="0" collapsed="false">
      <c r="A21" s="22"/>
      <c r="B21" s="22"/>
      <c r="C21" s="22"/>
      <c r="D21" s="22"/>
      <c r="E21" s="22"/>
      <c r="F21" s="22"/>
      <c r="G21" s="22"/>
      <c r="H21" s="22"/>
    </row>
    <row r="22" customFormat="false" ht="12.75" hidden="false" customHeight="true" outlineLevel="0" collapsed="false">
      <c r="A22" s="22"/>
      <c r="B22" s="22"/>
      <c r="C22" s="22"/>
      <c r="D22" s="22"/>
      <c r="E22" s="22"/>
      <c r="F22" s="22"/>
      <c r="G22" s="22"/>
      <c r="H22" s="22"/>
    </row>
    <row r="23" customFormat="false" ht="12.75" hidden="false" customHeight="true" outlineLevel="0" collapsed="false">
      <c r="A23" s="22"/>
      <c r="B23" s="22"/>
      <c r="C23" s="22"/>
      <c r="D23" s="22"/>
      <c r="E23" s="22"/>
      <c r="F23" s="22"/>
      <c r="G23" s="22"/>
      <c r="H23" s="22"/>
    </row>
    <row r="24" customFormat="false" ht="12.75" hidden="false" customHeight="true" outlineLevel="0" collapsed="false">
      <c r="A24" s="22"/>
      <c r="B24" s="22"/>
      <c r="C24" s="22"/>
      <c r="D24" s="22"/>
      <c r="E24" s="22"/>
      <c r="F24" s="22"/>
      <c r="G24" s="22"/>
      <c r="H24" s="22"/>
    </row>
    <row r="25" customFormat="false" ht="12.75" hidden="false" customHeight="true" outlineLevel="0" collapsed="false">
      <c r="A25" s="22"/>
      <c r="B25" s="22"/>
      <c r="C25" s="22"/>
      <c r="D25" s="22"/>
      <c r="E25" s="22"/>
      <c r="F25" s="22"/>
      <c r="G25" s="22"/>
      <c r="H25" s="22"/>
    </row>
    <row r="26" customFormat="false" ht="12.75" hidden="false" customHeight="true" outlineLevel="0" collapsed="false">
      <c r="A26" s="22"/>
      <c r="B26" s="22"/>
      <c r="C26" s="22"/>
      <c r="D26" s="22"/>
      <c r="E26" s="22"/>
      <c r="F26" s="22"/>
      <c r="G26" s="22"/>
      <c r="H26" s="22"/>
    </row>
    <row r="27" customFormat="false" ht="12.75" hidden="false" customHeight="true" outlineLevel="0" collapsed="false">
      <c r="A27" s="22"/>
      <c r="B27" s="22"/>
      <c r="C27" s="22"/>
      <c r="D27" s="22"/>
      <c r="E27" s="22"/>
      <c r="F27" s="22"/>
      <c r="G27" s="22"/>
      <c r="H27" s="22"/>
    </row>
    <row r="28" customFormat="false" ht="12.75" hidden="false" customHeight="true" outlineLevel="0" collapsed="false">
      <c r="A28" s="22"/>
      <c r="B28" s="22"/>
      <c r="C28" s="22"/>
      <c r="D28" s="22"/>
      <c r="E28" s="22"/>
      <c r="F28" s="22"/>
      <c r="G28" s="22"/>
      <c r="H28" s="22"/>
    </row>
    <row r="29" customFormat="false" ht="12.75" hidden="false" customHeight="true" outlineLevel="0" collapsed="false">
      <c r="A29" s="22"/>
      <c r="B29" s="22"/>
      <c r="C29" s="22"/>
      <c r="D29" s="22"/>
      <c r="E29" s="22"/>
      <c r="F29" s="22"/>
      <c r="G29" s="22"/>
      <c r="H29" s="22"/>
    </row>
    <row r="30" customFormat="false" ht="12.75" hidden="false" customHeight="true" outlineLevel="0" collapsed="false">
      <c r="A30" s="22"/>
      <c r="B30" s="22"/>
      <c r="C30" s="22"/>
      <c r="D30" s="22"/>
      <c r="E30" s="22"/>
      <c r="F30" s="22"/>
      <c r="G30" s="22"/>
      <c r="H30" s="22"/>
    </row>
    <row r="31" customFormat="false" ht="12.75" hidden="false" customHeight="true" outlineLevel="0" collapsed="false">
      <c r="A31" s="22"/>
      <c r="B31" s="22"/>
      <c r="C31" s="22"/>
      <c r="D31" s="22"/>
      <c r="E31" s="22"/>
      <c r="F31" s="22"/>
      <c r="G31" s="22"/>
      <c r="H31" s="22"/>
    </row>
    <row r="32" customFormat="false" ht="12.75" hidden="false" customHeight="true" outlineLevel="0" collapsed="false">
      <c r="A32" s="22"/>
      <c r="B32" s="22"/>
      <c r="C32" s="22"/>
      <c r="D32" s="22"/>
      <c r="E32" s="22"/>
      <c r="F32" s="22"/>
      <c r="G32" s="22"/>
      <c r="H32" s="22"/>
    </row>
    <row r="33" customFormat="false" ht="12.75" hidden="false" customHeight="true" outlineLevel="0" collapsed="false">
      <c r="A33" s="22"/>
      <c r="B33" s="22"/>
      <c r="C33" s="22"/>
      <c r="D33" s="22"/>
      <c r="E33" s="22"/>
      <c r="F33" s="22"/>
      <c r="G33" s="22"/>
      <c r="H33" s="22"/>
    </row>
    <row r="34" customFormat="false" ht="12.75" hidden="false" customHeight="true" outlineLevel="0" collapsed="false">
      <c r="A34" s="22"/>
      <c r="B34" s="22"/>
      <c r="C34" s="22"/>
      <c r="D34" s="22"/>
      <c r="E34" s="22"/>
      <c r="F34" s="22"/>
      <c r="G34" s="22"/>
      <c r="H34" s="22"/>
    </row>
    <row r="35" customFormat="false" ht="12.75" hidden="false" customHeight="true" outlineLevel="0" collapsed="false">
      <c r="A35" s="22"/>
      <c r="B35" s="22"/>
      <c r="C35" s="22"/>
      <c r="D35" s="22"/>
      <c r="E35" s="22"/>
      <c r="F35" s="22"/>
      <c r="G35" s="22"/>
      <c r="H35" s="22"/>
    </row>
    <row r="36" customFormat="false" ht="12.75" hidden="false" customHeight="true" outlineLevel="0" collapsed="false">
      <c r="A36" s="22"/>
      <c r="B36" s="22"/>
      <c r="C36" s="22"/>
      <c r="D36" s="22"/>
      <c r="E36" s="22"/>
      <c r="F36" s="22"/>
      <c r="G36" s="22"/>
      <c r="H36" s="22"/>
    </row>
    <row r="37" customFormat="false" ht="12.75" hidden="false" customHeight="true" outlineLevel="0" collapsed="false">
      <c r="A37" s="22"/>
      <c r="B37" s="22"/>
      <c r="C37" s="22"/>
      <c r="D37" s="22"/>
      <c r="E37" s="22"/>
      <c r="F37" s="22"/>
      <c r="G37" s="22"/>
      <c r="H37" s="22"/>
    </row>
    <row r="38" customFormat="false" ht="12.75" hidden="false" customHeight="true" outlineLevel="0" collapsed="false">
      <c r="A38" s="22"/>
      <c r="B38" s="22"/>
      <c r="C38" s="22"/>
      <c r="D38" s="22"/>
      <c r="E38" s="22"/>
      <c r="F38" s="22"/>
      <c r="G38" s="22"/>
      <c r="H38" s="22"/>
    </row>
    <row r="39" customFormat="false" ht="12.75" hidden="false" customHeight="true" outlineLevel="0" collapsed="false">
      <c r="A39" s="22"/>
      <c r="B39" s="22"/>
      <c r="C39" s="22"/>
      <c r="D39" s="22"/>
      <c r="E39" s="22"/>
      <c r="F39" s="22"/>
      <c r="G39" s="22"/>
      <c r="H39" s="22"/>
    </row>
    <row r="40" customFormat="false" ht="12.75" hidden="false" customHeight="true" outlineLevel="0" collapsed="false">
      <c r="A40" s="22"/>
      <c r="B40" s="22"/>
      <c r="C40" s="22"/>
      <c r="D40" s="22"/>
      <c r="E40" s="22"/>
      <c r="F40" s="22"/>
      <c r="G40" s="22"/>
      <c r="H4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10"/>
    <col collapsed="false" customWidth="true" hidden="false" outlineLevel="0" max="2" min="2" style="1" width="28"/>
    <col collapsed="false" customWidth="true" hidden="false" outlineLevel="0" max="5" min="3" style="1" width="36"/>
  </cols>
  <sheetData>
    <row r="1" customFormat="false" ht="26.25" hidden="false" customHeight="true" outlineLevel="0" collapsed="false">
      <c r="A1" s="21" t="s">
        <v>2887</v>
      </c>
      <c r="B1" s="21" t="s">
        <v>2888</v>
      </c>
      <c r="C1" s="21" t="s">
        <v>2889</v>
      </c>
      <c r="D1" s="21" t="s">
        <v>2890</v>
      </c>
      <c r="E1" s="21" t="s">
        <v>2891</v>
      </c>
    </row>
    <row r="2" customFormat="false" ht="12.75" hidden="false" customHeight="true" outlineLevel="0" collapsed="false">
      <c r="A2" s="22" t="s">
        <v>2892</v>
      </c>
      <c r="B2" s="22" t="s">
        <v>2893</v>
      </c>
      <c r="C2" s="22" t="s">
        <v>2894</v>
      </c>
      <c r="D2" s="22" t="s">
        <v>2895</v>
      </c>
      <c r="E2" s="22" t="s">
        <v>2896</v>
      </c>
    </row>
    <row r="3" customFormat="false" ht="26.25" hidden="false" customHeight="true" outlineLevel="0" collapsed="false">
      <c r="A3" s="22" t="s">
        <v>2017</v>
      </c>
      <c r="B3" s="22" t="s">
        <v>2897</v>
      </c>
      <c r="C3" s="22" t="s">
        <v>2898</v>
      </c>
      <c r="D3" s="22" t="s">
        <v>2899</v>
      </c>
      <c r="E3" s="22" t="s">
        <v>2900</v>
      </c>
    </row>
    <row r="4" customFormat="false" ht="12.75" hidden="false" customHeight="true" outlineLevel="0" collapsed="false">
      <c r="A4" s="22" t="s">
        <v>2020</v>
      </c>
      <c r="B4" s="22" t="s">
        <v>2901</v>
      </c>
      <c r="C4" s="22" t="s">
        <v>2902</v>
      </c>
      <c r="D4" s="22" t="s">
        <v>2903</v>
      </c>
      <c r="E4" s="22" t="s">
        <v>2904</v>
      </c>
    </row>
    <row r="5" customFormat="false" ht="26.25" hidden="false" customHeight="true" outlineLevel="0" collapsed="false">
      <c r="A5" s="22" t="s">
        <v>2022</v>
      </c>
      <c r="B5" s="22" t="s">
        <v>2905</v>
      </c>
      <c r="C5" s="22" t="s">
        <v>2906</v>
      </c>
      <c r="D5" s="22" t="s">
        <v>2907</v>
      </c>
      <c r="E5" s="22" t="s">
        <v>2908</v>
      </c>
    </row>
    <row r="6" customFormat="false" ht="26.25" hidden="false" customHeight="true" outlineLevel="0" collapsed="false">
      <c r="A6" s="22" t="s">
        <v>2024</v>
      </c>
      <c r="B6" s="22" t="s">
        <v>2909</v>
      </c>
      <c r="C6" s="22" t="s">
        <v>2910</v>
      </c>
      <c r="D6" s="22" t="s">
        <v>2911</v>
      </c>
      <c r="E6" s="22" t="s">
        <v>2912</v>
      </c>
    </row>
    <row r="7" customFormat="false" ht="12.75" hidden="false" customHeight="true" outlineLevel="0" collapsed="false">
      <c r="A7" s="22" t="s">
        <v>2026</v>
      </c>
      <c r="B7" s="22" t="s">
        <v>2913</v>
      </c>
      <c r="C7" s="22" t="s">
        <v>2914</v>
      </c>
      <c r="D7" s="22" t="s">
        <v>2915</v>
      </c>
      <c r="E7" s="22" t="s">
        <v>2916</v>
      </c>
    </row>
    <row r="8" customFormat="false" ht="12.75" hidden="false" customHeight="true" outlineLevel="0" collapsed="false">
      <c r="A8" s="22" t="s">
        <v>2917</v>
      </c>
      <c r="B8" s="22" t="s">
        <v>2918</v>
      </c>
      <c r="C8" s="22" t="s">
        <v>2919</v>
      </c>
      <c r="D8" s="22" t="s">
        <v>2920</v>
      </c>
      <c r="E8" s="22" t="s">
        <v>2921</v>
      </c>
    </row>
    <row r="9" customFormat="false" ht="12.75" hidden="false" customHeight="true" outlineLevel="0" collapsed="false">
      <c r="A9" s="22" t="s">
        <v>2922</v>
      </c>
      <c r="B9" s="22" t="s">
        <v>2923</v>
      </c>
      <c r="C9" s="22" t="s">
        <v>2924</v>
      </c>
      <c r="D9" s="22" t="s">
        <v>2925</v>
      </c>
      <c r="E9" s="22" t="s">
        <v>2926</v>
      </c>
    </row>
    <row r="10" customFormat="false" ht="26.25" hidden="false" customHeight="true" outlineLevel="0" collapsed="false">
      <c r="A10" s="22" t="s">
        <v>2927</v>
      </c>
      <c r="B10" s="22" t="s">
        <v>2928</v>
      </c>
      <c r="C10" s="22" t="s">
        <v>2929</v>
      </c>
      <c r="D10" s="22" t="s">
        <v>2930</v>
      </c>
      <c r="E10" s="22" t="s">
        <v>2931</v>
      </c>
    </row>
    <row r="11" customFormat="false" ht="26.25" hidden="false" customHeight="true" outlineLevel="0" collapsed="false">
      <c r="A11" s="22" t="s">
        <v>2932</v>
      </c>
      <c r="B11" s="22" t="s">
        <v>2933</v>
      </c>
      <c r="C11" s="22" t="s">
        <v>2934</v>
      </c>
      <c r="D11" s="22" t="s">
        <v>2935</v>
      </c>
      <c r="E11" s="22" t="s">
        <v>2936</v>
      </c>
    </row>
    <row r="12" customFormat="false" ht="12.75" hidden="false" customHeight="true" outlineLevel="0" collapsed="false">
      <c r="A12" s="22"/>
      <c r="B12" s="22"/>
      <c r="C12" s="22"/>
      <c r="D12" s="22"/>
      <c r="E12" s="22"/>
    </row>
    <row r="13" customFormat="false" ht="12.75" hidden="false" customHeight="true" outlineLevel="0" collapsed="false">
      <c r="A13" s="22"/>
      <c r="B13" s="22"/>
      <c r="C13" s="22"/>
      <c r="D13" s="22"/>
      <c r="E13" s="22"/>
    </row>
    <row r="14" customFormat="false" ht="12.75" hidden="false" customHeight="true" outlineLevel="0" collapsed="false">
      <c r="A14" s="22"/>
      <c r="B14" s="22"/>
      <c r="C14" s="22"/>
      <c r="D14" s="22"/>
      <c r="E14" s="22"/>
    </row>
    <row r="15" customFormat="false" ht="12.75" hidden="false" customHeight="true" outlineLevel="0" collapsed="false">
      <c r="A15" s="22"/>
      <c r="B15" s="22"/>
      <c r="C15" s="22"/>
      <c r="D15" s="22"/>
      <c r="E15" s="22"/>
    </row>
    <row r="16" customFormat="false" ht="12.75" hidden="false" customHeight="true" outlineLevel="0" collapsed="false">
      <c r="A16" s="22"/>
      <c r="B16" s="22"/>
      <c r="C16" s="22"/>
      <c r="D16" s="22"/>
      <c r="E16" s="22"/>
    </row>
    <row r="17" customFormat="false" ht="12.75" hidden="false" customHeight="true" outlineLevel="0" collapsed="false">
      <c r="A17" s="22"/>
      <c r="B17" s="22"/>
      <c r="C17" s="22"/>
      <c r="D17" s="22"/>
      <c r="E17" s="22"/>
    </row>
    <row r="18" customFormat="false" ht="12.75" hidden="false" customHeight="true" outlineLevel="0" collapsed="false">
      <c r="A18" s="22"/>
      <c r="B18" s="22"/>
      <c r="C18" s="22"/>
      <c r="D18" s="22"/>
      <c r="E18" s="22"/>
    </row>
    <row r="19" customFormat="false" ht="12.75" hidden="false" customHeight="true" outlineLevel="0" collapsed="false">
      <c r="A19" s="22"/>
      <c r="B19" s="22"/>
      <c r="C19" s="22"/>
      <c r="D19" s="22"/>
      <c r="E19" s="22"/>
    </row>
    <row r="20" customFormat="false" ht="12.75" hidden="false" customHeight="true" outlineLevel="0" collapsed="false">
      <c r="A20" s="22"/>
      <c r="B20" s="22"/>
      <c r="C20" s="22"/>
      <c r="D20" s="22"/>
      <c r="E2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10"/>
    <col collapsed="false" customWidth="true" hidden="false" outlineLevel="0" max="2" min="2" style="1" width="36"/>
    <col collapsed="false" customWidth="true" hidden="false" outlineLevel="0" max="3" min="3" style="1" width="10"/>
    <col collapsed="false" customWidth="true" hidden="false" outlineLevel="0" max="5" min="4" style="1" width="36"/>
    <col collapsed="false" customWidth="true" hidden="false" outlineLevel="0" max="12" min="6" style="2" width="10"/>
  </cols>
  <sheetData>
    <row r="1" customFormat="false" ht="26.25" hidden="false" customHeight="true" outlineLevel="0" collapsed="false">
      <c r="A1" s="21" t="s">
        <v>2937</v>
      </c>
      <c r="B1" s="21" t="s">
        <v>2938</v>
      </c>
      <c r="C1" s="21" t="s">
        <v>2939</v>
      </c>
      <c r="D1" s="21" t="s">
        <v>2940</v>
      </c>
      <c r="E1" s="21" t="s">
        <v>2850</v>
      </c>
      <c r="F1" s="21"/>
      <c r="G1" s="21"/>
      <c r="H1" s="21"/>
      <c r="I1" s="21"/>
      <c r="J1" s="21"/>
      <c r="K1" s="21"/>
      <c r="L1" s="21"/>
      <c r="M1" s="21"/>
      <c r="N1" s="21"/>
      <c r="O1" s="21"/>
      <c r="P1" s="21"/>
      <c r="Q1" s="21"/>
      <c r="R1" s="21"/>
      <c r="S1" s="21"/>
      <c r="T1" s="21"/>
      <c r="U1" s="21"/>
      <c r="V1" s="21"/>
      <c r="W1" s="21"/>
      <c r="X1" s="21"/>
      <c r="Y1" s="21"/>
      <c r="Z1" s="21"/>
    </row>
    <row r="2" customFormat="false" ht="26.25" hidden="false" customHeight="true" outlineLevel="0" collapsed="false">
      <c r="A2" s="22" t="s">
        <v>2941</v>
      </c>
      <c r="B2" s="22" t="s">
        <v>2942</v>
      </c>
      <c r="C2" s="22" t="s">
        <v>348</v>
      </c>
      <c r="D2" s="22" t="s">
        <v>2943</v>
      </c>
      <c r="E2" s="22"/>
      <c r="F2" s="22"/>
      <c r="G2" s="22"/>
      <c r="H2" s="22"/>
      <c r="I2" s="22"/>
      <c r="J2" s="22"/>
      <c r="K2" s="22"/>
      <c r="L2" s="22"/>
      <c r="M2" s="22"/>
      <c r="N2" s="22"/>
      <c r="O2" s="22"/>
      <c r="P2" s="22"/>
      <c r="Q2" s="22"/>
      <c r="R2" s="22"/>
      <c r="S2" s="22"/>
      <c r="T2" s="22"/>
      <c r="U2" s="22"/>
      <c r="V2" s="22"/>
      <c r="W2" s="22"/>
      <c r="X2" s="22"/>
      <c r="Y2" s="22"/>
      <c r="Z2" s="22"/>
    </row>
    <row r="3" customFormat="false" ht="26.25" hidden="false" customHeight="true" outlineLevel="0" collapsed="false">
      <c r="A3" s="22" t="s">
        <v>2944</v>
      </c>
      <c r="B3" s="22" t="s">
        <v>2945</v>
      </c>
      <c r="C3" s="22" t="s">
        <v>348</v>
      </c>
      <c r="D3" s="22" t="s">
        <v>2943</v>
      </c>
      <c r="E3" s="22"/>
      <c r="F3" s="22"/>
      <c r="G3" s="22"/>
      <c r="H3" s="22"/>
      <c r="I3" s="22"/>
      <c r="J3" s="22"/>
      <c r="K3" s="22"/>
      <c r="L3" s="22"/>
      <c r="M3" s="22"/>
      <c r="N3" s="22"/>
      <c r="O3" s="22"/>
      <c r="P3" s="22"/>
      <c r="Q3" s="22"/>
      <c r="R3" s="22"/>
      <c r="S3" s="22"/>
      <c r="T3" s="22"/>
      <c r="U3" s="22"/>
      <c r="V3" s="22"/>
      <c r="W3" s="22"/>
      <c r="X3" s="22"/>
      <c r="Y3" s="22"/>
      <c r="Z3" s="22"/>
    </row>
    <row r="4" customFormat="false" ht="26.25" hidden="false" customHeight="true" outlineLevel="0" collapsed="false">
      <c r="A4" s="22" t="s">
        <v>2946</v>
      </c>
      <c r="B4" s="22" t="s">
        <v>2947</v>
      </c>
      <c r="C4" s="22" t="s">
        <v>348</v>
      </c>
      <c r="D4" s="22" t="s">
        <v>2943</v>
      </c>
      <c r="E4" s="22"/>
      <c r="F4" s="22"/>
      <c r="G4" s="22"/>
      <c r="H4" s="22"/>
      <c r="I4" s="22"/>
      <c r="J4" s="22"/>
      <c r="K4" s="22"/>
      <c r="L4" s="22"/>
      <c r="M4" s="22"/>
      <c r="N4" s="22"/>
      <c r="O4" s="22"/>
      <c r="P4" s="22"/>
      <c r="Q4" s="22"/>
      <c r="R4" s="22"/>
      <c r="S4" s="22"/>
      <c r="T4" s="22"/>
      <c r="U4" s="22"/>
      <c r="V4" s="22"/>
      <c r="W4" s="22"/>
      <c r="X4" s="22"/>
      <c r="Y4" s="22"/>
      <c r="Z4" s="22"/>
    </row>
    <row r="5" customFormat="false" ht="26.25" hidden="false" customHeight="true" outlineLevel="0" collapsed="false">
      <c r="A5" s="22" t="s">
        <v>2948</v>
      </c>
      <c r="B5" s="22" t="s">
        <v>2949</v>
      </c>
      <c r="C5" s="22" t="s">
        <v>348</v>
      </c>
      <c r="D5" s="22" t="s">
        <v>2943</v>
      </c>
      <c r="E5" s="22"/>
      <c r="F5" s="22"/>
      <c r="G5" s="22"/>
      <c r="H5" s="22"/>
      <c r="I5" s="22"/>
      <c r="J5" s="22"/>
      <c r="K5" s="22"/>
      <c r="L5" s="22"/>
      <c r="M5" s="22"/>
      <c r="N5" s="22"/>
      <c r="O5" s="22"/>
      <c r="P5" s="22"/>
      <c r="Q5" s="22"/>
      <c r="R5" s="22"/>
      <c r="S5" s="22"/>
      <c r="T5" s="22"/>
      <c r="U5" s="22"/>
      <c r="V5" s="22"/>
      <c r="W5" s="22"/>
      <c r="X5" s="22"/>
      <c r="Y5" s="22"/>
      <c r="Z5" s="22"/>
    </row>
    <row r="6" customFormat="false" ht="26.25" hidden="false" customHeight="true" outlineLevel="0" collapsed="false">
      <c r="A6" s="22" t="s">
        <v>2950</v>
      </c>
      <c r="B6" s="22" t="s">
        <v>2951</v>
      </c>
      <c r="C6" s="22" t="s">
        <v>348</v>
      </c>
      <c r="D6" s="22" t="s">
        <v>2534</v>
      </c>
      <c r="E6" s="22"/>
      <c r="F6" s="22"/>
      <c r="G6" s="22"/>
      <c r="H6" s="22"/>
      <c r="I6" s="22"/>
      <c r="J6" s="22"/>
      <c r="K6" s="22"/>
      <c r="L6" s="22"/>
      <c r="M6" s="22"/>
      <c r="N6" s="22"/>
      <c r="O6" s="22"/>
      <c r="P6" s="22"/>
      <c r="Q6" s="22"/>
      <c r="R6" s="22"/>
      <c r="S6" s="22"/>
      <c r="T6" s="22"/>
      <c r="U6" s="22"/>
      <c r="V6" s="22"/>
      <c r="W6" s="22"/>
      <c r="X6" s="22"/>
      <c r="Y6" s="22"/>
      <c r="Z6" s="22"/>
    </row>
    <row r="7" customFormat="false" ht="26.25" hidden="false" customHeight="true" outlineLevel="0" collapsed="false">
      <c r="A7" s="22" t="s">
        <v>2952</v>
      </c>
      <c r="B7" s="22" t="s">
        <v>2953</v>
      </c>
      <c r="C7" s="22" t="s">
        <v>348</v>
      </c>
      <c r="D7" s="22" t="s">
        <v>2536</v>
      </c>
      <c r="E7" s="22"/>
      <c r="F7" s="22"/>
      <c r="G7" s="22"/>
      <c r="H7" s="22"/>
      <c r="I7" s="22"/>
      <c r="J7" s="22"/>
      <c r="K7" s="22"/>
      <c r="L7" s="22"/>
      <c r="M7" s="22"/>
      <c r="N7" s="22"/>
      <c r="O7" s="22"/>
      <c r="P7" s="22"/>
      <c r="Q7" s="22"/>
      <c r="R7" s="22"/>
      <c r="S7" s="22"/>
      <c r="T7" s="22"/>
      <c r="U7" s="22"/>
      <c r="V7" s="22"/>
      <c r="W7" s="22"/>
      <c r="X7" s="22"/>
      <c r="Y7" s="22"/>
      <c r="Z7" s="22"/>
    </row>
    <row r="8" customFormat="false" ht="26.25" hidden="false" customHeight="true" outlineLevel="0" collapsed="false">
      <c r="A8" s="22" t="s">
        <v>2954</v>
      </c>
      <c r="B8" s="22" t="s">
        <v>2955</v>
      </c>
      <c r="C8" s="22" t="s">
        <v>348</v>
      </c>
      <c r="D8" s="22" t="s">
        <v>2538</v>
      </c>
      <c r="E8" s="22"/>
      <c r="F8" s="22"/>
      <c r="G8" s="22"/>
      <c r="H8" s="22"/>
      <c r="I8" s="22"/>
      <c r="J8" s="22"/>
      <c r="K8" s="22"/>
      <c r="L8" s="22"/>
      <c r="M8" s="22"/>
      <c r="N8" s="22"/>
      <c r="O8" s="22"/>
      <c r="P8" s="22"/>
      <c r="Q8" s="22"/>
      <c r="R8" s="22"/>
      <c r="S8" s="22"/>
      <c r="T8" s="22"/>
      <c r="U8" s="22"/>
      <c r="V8" s="22"/>
      <c r="W8" s="22"/>
      <c r="X8" s="22"/>
      <c r="Y8" s="22"/>
      <c r="Z8" s="22"/>
    </row>
    <row r="9" customFormat="false" ht="26.25" hidden="false" customHeight="true" outlineLevel="0" collapsed="false">
      <c r="A9" s="22" t="s">
        <v>2956</v>
      </c>
      <c r="B9" s="22" t="s">
        <v>2957</v>
      </c>
      <c r="C9" s="22" t="s">
        <v>348</v>
      </c>
      <c r="D9" s="22" t="s">
        <v>2540</v>
      </c>
      <c r="E9" s="22"/>
      <c r="F9" s="22"/>
      <c r="G9" s="22"/>
      <c r="H9" s="22"/>
      <c r="I9" s="22"/>
      <c r="J9" s="22"/>
      <c r="K9" s="22"/>
      <c r="L9" s="22"/>
      <c r="M9" s="22"/>
      <c r="N9" s="22"/>
      <c r="O9" s="22"/>
      <c r="P9" s="22"/>
      <c r="Q9" s="22"/>
      <c r="R9" s="22"/>
      <c r="S9" s="22"/>
      <c r="T9" s="22"/>
      <c r="U9" s="22"/>
      <c r="V9" s="22"/>
      <c r="W9" s="22"/>
      <c r="X9" s="22"/>
      <c r="Y9" s="22"/>
      <c r="Z9" s="22"/>
    </row>
    <row r="10" customFormat="false" ht="26.25" hidden="false" customHeight="true" outlineLevel="0" collapsed="false">
      <c r="A10" s="22" t="s">
        <v>2958</v>
      </c>
      <c r="B10" s="22" t="s">
        <v>2959</v>
      </c>
      <c r="C10" s="22" t="s">
        <v>348</v>
      </c>
      <c r="D10" s="22" t="s">
        <v>2960</v>
      </c>
      <c r="E10" s="22" t="s">
        <v>2961</v>
      </c>
      <c r="F10" s="22"/>
      <c r="G10" s="22"/>
      <c r="H10" s="22"/>
      <c r="I10" s="22"/>
      <c r="J10" s="22"/>
      <c r="K10" s="22"/>
      <c r="L10" s="22"/>
      <c r="M10" s="22"/>
      <c r="N10" s="22"/>
      <c r="O10" s="22"/>
      <c r="P10" s="22"/>
      <c r="Q10" s="22"/>
      <c r="R10" s="22"/>
      <c r="S10" s="22"/>
      <c r="T10" s="22"/>
      <c r="U10" s="22"/>
      <c r="V10" s="22"/>
      <c r="W10" s="22"/>
      <c r="X10" s="22"/>
      <c r="Y10" s="22"/>
      <c r="Z10" s="22"/>
    </row>
    <row r="11" customFormat="false" ht="26.25" hidden="false" customHeight="true" outlineLevel="0" collapsed="false">
      <c r="A11" s="22" t="s">
        <v>2962</v>
      </c>
      <c r="B11" s="22" t="s">
        <v>2963</v>
      </c>
      <c r="C11" s="22" t="s">
        <v>348</v>
      </c>
      <c r="D11" s="22" t="s">
        <v>2964</v>
      </c>
      <c r="E11" s="22" t="s">
        <v>2965</v>
      </c>
      <c r="F11" s="22"/>
      <c r="G11" s="22"/>
      <c r="H11" s="22"/>
      <c r="I11" s="22"/>
      <c r="J11" s="22"/>
      <c r="K11" s="22"/>
      <c r="L11" s="22"/>
      <c r="M11" s="22"/>
      <c r="N11" s="22"/>
      <c r="O11" s="22"/>
      <c r="P11" s="22"/>
      <c r="Q11" s="22"/>
      <c r="R11" s="22"/>
      <c r="S11" s="22"/>
      <c r="T11" s="22"/>
      <c r="U11" s="22"/>
      <c r="V11" s="22"/>
      <c r="W11" s="22"/>
      <c r="X11" s="22"/>
      <c r="Y11" s="22"/>
      <c r="Z11" s="22"/>
    </row>
    <row r="12" customFormat="false" ht="26.25" hidden="false" customHeight="true" outlineLevel="0" collapsed="false">
      <c r="A12" s="22" t="s">
        <v>2966</v>
      </c>
      <c r="B12" s="22" t="s">
        <v>2967</v>
      </c>
      <c r="C12" s="22" t="s">
        <v>348</v>
      </c>
      <c r="D12" s="22" t="s">
        <v>2968</v>
      </c>
      <c r="E12" s="22" t="s">
        <v>2969</v>
      </c>
      <c r="F12" s="22"/>
      <c r="G12" s="22"/>
      <c r="H12" s="22"/>
      <c r="I12" s="22"/>
      <c r="J12" s="22"/>
      <c r="K12" s="22"/>
      <c r="L12" s="22"/>
      <c r="M12" s="22"/>
      <c r="N12" s="22"/>
      <c r="O12" s="22"/>
      <c r="P12" s="22"/>
      <c r="Q12" s="22"/>
      <c r="R12" s="22"/>
      <c r="S12" s="22"/>
      <c r="T12" s="22"/>
      <c r="U12" s="22"/>
      <c r="V12" s="22"/>
      <c r="W12" s="22"/>
      <c r="X12" s="22"/>
      <c r="Y12" s="22"/>
      <c r="Z12" s="22"/>
    </row>
    <row r="13" customFormat="false" ht="26.25" hidden="false" customHeight="true" outlineLevel="0" collapsed="false">
      <c r="A13" s="22" t="s">
        <v>2970</v>
      </c>
      <c r="B13" s="22" t="s">
        <v>511</v>
      </c>
      <c r="C13" s="22" t="s">
        <v>348</v>
      </c>
      <c r="D13" s="22" t="s">
        <v>512</v>
      </c>
      <c r="E13" s="22" t="s">
        <v>2971</v>
      </c>
      <c r="F13" s="22"/>
      <c r="G13" s="22"/>
      <c r="H13" s="22"/>
      <c r="I13" s="22"/>
      <c r="J13" s="22"/>
      <c r="K13" s="22"/>
      <c r="L13" s="22"/>
      <c r="M13" s="22"/>
      <c r="N13" s="22"/>
      <c r="O13" s="22"/>
      <c r="P13" s="22"/>
      <c r="Q13" s="22"/>
      <c r="R13" s="22"/>
      <c r="S13" s="22"/>
      <c r="T13" s="22"/>
      <c r="U13" s="22"/>
      <c r="V13" s="22"/>
      <c r="W13" s="22"/>
      <c r="X13" s="22"/>
      <c r="Y13" s="22"/>
      <c r="Z13" s="22"/>
    </row>
    <row r="14" customFormat="false" ht="26.25" hidden="false" customHeight="true" outlineLevel="0" collapsed="false">
      <c r="A14" s="22" t="s">
        <v>2972</v>
      </c>
      <c r="B14" s="22" t="s">
        <v>2973</v>
      </c>
      <c r="C14" s="22" t="s">
        <v>348</v>
      </c>
      <c r="D14" s="22" t="s">
        <v>515</v>
      </c>
      <c r="E14" s="22" t="s">
        <v>2974</v>
      </c>
      <c r="F14" s="22"/>
      <c r="G14" s="22"/>
      <c r="H14" s="22"/>
      <c r="I14" s="22"/>
      <c r="J14" s="22"/>
      <c r="K14" s="22"/>
      <c r="L14" s="22"/>
      <c r="M14" s="22"/>
      <c r="N14" s="22"/>
      <c r="O14" s="22"/>
      <c r="P14" s="22"/>
      <c r="Q14" s="22"/>
      <c r="R14" s="22"/>
      <c r="S14" s="22"/>
      <c r="T14" s="22"/>
      <c r="U14" s="22"/>
      <c r="V14" s="22"/>
      <c r="W14" s="22"/>
      <c r="X14" s="22"/>
      <c r="Y14" s="22"/>
      <c r="Z14" s="22"/>
    </row>
    <row r="15" customFormat="false" ht="26.25" hidden="false" customHeight="true" outlineLevel="0" collapsed="false">
      <c r="A15" s="22" t="s">
        <v>2975</v>
      </c>
      <c r="B15" s="22" t="s">
        <v>2976</v>
      </c>
      <c r="C15" s="22" t="s">
        <v>348</v>
      </c>
      <c r="D15" s="22" t="s">
        <v>518</v>
      </c>
      <c r="E15" s="22" t="s">
        <v>2977</v>
      </c>
      <c r="F15" s="22"/>
      <c r="G15" s="22"/>
      <c r="H15" s="22"/>
      <c r="I15" s="22"/>
      <c r="J15" s="22"/>
      <c r="K15" s="22"/>
      <c r="L15" s="22"/>
      <c r="M15" s="22"/>
      <c r="N15" s="22"/>
      <c r="O15" s="22"/>
      <c r="P15" s="22"/>
      <c r="Q15" s="22"/>
      <c r="R15" s="22"/>
      <c r="S15" s="22"/>
      <c r="T15" s="22"/>
      <c r="U15" s="22"/>
      <c r="V15" s="22"/>
      <c r="W15" s="22"/>
      <c r="X15" s="22"/>
      <c r="Y15" s="22"/>
      <c r="Z15" s="22"/>
    </row>
    <row r="16" customFormat="false" ht="26.25" hidden="false" customHeight="true" outlineLevel="0" collapsed="false">
      <c r="A16" s="22" t="s">
        <v>2978</v>
      </c>
      <c r="B16" s="22" t="s">
        <v>2979</v>
      </c>
      <c r="C16" s="22" t="s">
        <v>348</v>
      </c>
      <c r="D16" s="22" t="s">
        <v>521</v>
      </c>
      <c r="E16" s="22" t="s">
        <v>2980</v>
      </c>
      <c r="F16" s="22"/>
      <c r="G16" s="22"/>
      <c r="H16" s="22"/>
      <c r="I16" s="22"/>
      <c r="J16" s="22"/>
      <c r="K16" s="22"/>
      <c r="L16" s="22"/>
      <c r="M16" s="22"/>
      <c r="N16" s="22"/>
      <c r="O16" s="22"/>
      <c r="P16" s="22"/>
      <c r="Q16" s="22"/>
      <c r="R16" s="22"/>
      <c r="S16" s="22"/>
      <c r="T16" s="22"/>
      <c r="U16" s="22"/>
      <c r="V16" s="22"/>
      <c r="W16" s="22"/>
      <c r="X16" s="22"/>
      <c r="Y16" s="22"/>
      <c r="Z16" s="22"/>
    </row>
    <row r="17" customFormat="false" ht="26.25" hidden="false" customHeight="true" outlineLevel="0" collapsed="false">
      <c r="A17" s="22" t="s">
        <v>2981</v>
      </c>
      <c r="B17" s="22" t="s">
        <v>2982</v>
      </c>
      <c r="C17" s="22" t="s">
        <v>348</v>
      </c>
      <c r="D17" s="22" t="s">
        <v>524</v>
      </c>
      <c r="E17" s="22" t="s">
        <v>2983</v>
      </c>
      <c r="F17" s="22"/>
      <c r="G17" s="22"/>
      <c r="H17" s="22"/>
      <c r="I17" s="22"/>
      <c r="J17" s="22"/>
      <c r="K17" s="22"/>
      <c r="L17" s="22"/>
      <c r="M17" s="22"/>
      <c r="N17" s="22"/>
      <c r="O17" s="22"/>
      <c r="P17" s="22"/>
      <c r="Q17" s="22"/>
      <c r="R17" s="22"/>
      <c r="S17" s="22"/>
      <c r="T17" s="22"/>
      <c r="U17" s="22"/>
      <c r="V17" s="22"/>
      <c r="W17" s="22"/>
      <c r="X17" s="22"/>
      <c r="Y17" s="22"/>
      <c r="Z17" s="22"/>
    </row>
    <row r="18" customFormat="false" ht="26.25" hidden="false" customHeight="true" outlineLevel="0" collapsed="false">
      <c r="A18" s="22" t="s">
        <v>2984</v>
      </c>
      <c r="B18" s="22" t="s">
        <v>2985</v>
      </c>
      <c r="C18" s="22" t="s">
        <v>348</v>
      </c>
      <c r="D18" s="22" t="s">
        <v>527</v>
      </c>
      <c r="E18" s="22" t="s">
        <v>2986</v>
      </c>
      <c r="F18" s="22"/>
      <c r="G18" s="22"/>
      <c r="H18" s="22"/>
      <c r="I18" s="22"/>
      <c r="J18" s="22"/>
      <c r="K18" s="22"/>
      <c r="L18" s="22"/>
      <c r="M18" s="22"/>
      <c r="N18" s="22"/>
      <c r="O18" s="22"/>
      <c r="P18" s="22"/>
      <c r="Q18" s="22"/>
      <c r="R18" s="22"/>
      <c r="S18" s="22"/>
      <c r="T18" s="22"/>
      <c r="U18" s="22"/>
      <c r="V18" s="22"/>
      <c r="W18" s="22"/>
      <c r="X18" s="22"/>
      <c r="Y18" s="22"/>
      <c r="Z18" s="22"/>
    </row>
    <row r="19" customFormat="false" ht="26.25" hidden="false" customHeight="true" outlineLevel="0" collapsed="false">
      <c r="A19" s="22" t="s">
        <v>2987</v>
      </c>
      <c r="B19" s="22" t="s">
        <v>2988</v>
      </c>
      <c r="C19" s="22" t="s">
        <v>348</v>
      </c>
      <c r="D19" s="22" t="s">
        <v>530</v>
      </c>
      <c r="E19" s="22" t="s">
        <v>2989</v>
      </c>
      <c r="F19" s="22"/>
      <c r="G19" s="22"/>
      <c r="H19" s="22"/>
      <c r="I19" s="22"/>
      <c r="J19" s="22"/>
      <c r="K19" s="22"/>
      <c r="L19" s="22"/>
      <c r="M19" s="22"/>
      <c r="N19" s="22"/>
      <c r="O19" s="22"/>
      <c r="P19" s="22"/>
      <c r="Q19" s="22"/>
      <c r="R19" s="22"/>
      <c r="S19" s="22"/>
      <c r="T19" s="22"/>
      <c r="U19" s="22"/>
      <c r="V19" s="22"/>
      <c r="W19" s="22"/>
      <c r="X19" s="22"/>
      <c r="Y19" s="22"/>
      <c r="Z19" s="22"/>
    </row>
    <row r="20" customFormat="false" ht="26.25" hidden="false" customHeight="true" outlineLevel="0" collapsed="false">
      <c r="A20" s="22" t="s">
        <v>2990</v>
      </c>
      <c r="B20" s="22" t="s">
        <v>2991</v>
      </c>
      <c r="C20" s="22" t="s">
        <v>348</v>
      </c>
      <c r="D20" s="22" t="s">
        <v>515</v>
      </c>
      <c r="E20" s="22" t="s">
        <v>2992</v>
      </c>
      <c r="F20" s="22"/>
      <c r="G20" s="22"/>
      <c r="H20" s="22"/>
      <c r="I20" s="22"/>
      <c r="J20" s="22"/>
      <c r="K20" s="22"/>
      <c r="L20" s="22"/>
      <c r="M20" s="22"/>
      <c r="N20" s="22"/>
      <c r="O20" s="22"/>
      <c r="P20" s="22"/>
      <c r="Q20" s="22"/>
      <c r="R20" s="22"/>
      <c r="S20" s="22"/>
      <c r="T20" s="22"/>
      <c r="U20" s="22"/>
      <c r="V20" s="22"/>
      <c r="W20" s="22"/>
      <c r="X20" s="22"/>
      <c r="Y20" s="22"/>
      <c r="Z20" s="22"/>
    </row>
    <row r="21" customFormat="false" ht="26.25" hidden="false" customHeight="true" outlineLevel="0" collapsed="false">
      <c r="A21" s="22" t="s">
        <v>2993</v>
      </c>
      <c r="B21" s="22" t="s">
        <v>2994</v>
      </c>
      <c r="C21" s="22" t="s">
        <v>348</v>
      </c>
      <c r="D21" s="22" t="s">
        <v>518</v>
      </c>
      <c r="E21" s="22" t="s">
        <v>2995</v>
      </c>
      <c r="F21" s="22"/>
      <c r="G21" s="22"/>
      <c r="H21" s="22"/>
      <c r="I21" s="22"/>
      <c r="J21" s="22"/>
      <c r="K21" s="22"/>
      <c r="L21" s="22"/>
      <c r="M21" s="22"/>
      <c r="N21" s="22"/>
      <c r="O21" s="22"/>
      <c r="P21" s="22"/>
      <c r="Q21" s="22"/>
      <c r="R21" s="22"/>
      <c r="S21" s="22"/>
      <c r="T21" s="22"/>
      <c r="U21" s="22"/>
      <c r="V21" s="22"/>
      <c r="W21" s="22"/>
      <c r="X21" s="22"/>
      <c r="Y21" s="22"/>
      <c r="Z21" s="22"/>
    </row>
    <row r="22" customFormat="false" ht="26.25" hidden="false" customHeight="true" outlineLevel="0" collapsed="false">
      <c r="A22" s="22" t="s">
        <v>2996</v>
      </c>
      <c r="B22" s="22" t="s">
        <v>2997</v>
      </c>
      <c r="C22" s="22" t="s">
        <v>348</v>
      </c>
      <c r="D22" s="22" t="s">
        <v>521</v>
      </c>
      <c r="E22" s="22" t="s">
        <v>2998</v>
      </c>
      <c r="F22" s="22"/>
      <c r="G22" s="22"/>
      <c r="H22" s="22"/>
      <c r="I22" s="22"/>
      <c r="J22" s="22"/>
      <c r="K22" s="22"/>
      <c r="L22" s="22"/>
      <c r="M22" s="22"/>
      <c r="N22" s="22"/>
      <c r="O22" s="22"/>
      <c r="P22" s="22"/>
      <c r="Q22" s="22"/>
      <c r="R22" s="22"/>
      <c r="S22" s="22"/>
      <c r="T22" s="22"/>
      <c r="U22" s="22"/>
      <c r="V22" s="22"/>
      <c r="W22" s="22"/>
      <c r="X22" s="22"/>
      <c r="Y22" s="22"/>
      <c r="Z22" s="22"/>
    </row>
    <row r="23" customFormat="false" ht="26.25" hidden="false" customHeight="true" outlineLevel="0" collapsed="false">
      <c r="A23" s="22" t="s">
        <v>2999</v>
      </c>
      <c r="B23" s="22" t="s">
        <v>3000</v>
      </c>
      <c r="C23" s="22" t="s">
        <v>348</v>
      </c>
      <c r="D23" s="22" t="s">
        <v>524</v>
      </c>
      <c r="E23" s="22" t="s">
        <v>3001</v>
      </c>
      <c r="F23" s="22"/>
      <c r="G23" s="22"/>
      <c r="H23" s="22"/>
      <c r="I23" s="22"/>
      <c r="J23" s="22"/>
      <c r="K23" s="22"/>
      <c r="L23" s="22"/>
      <c r="M23" s="22"/>
      <c r="N23" s="22"/>
      <c r="O23" s="22"/>
      <c r="P23" s="22"/>
      <c r="Q23" s="22"/>
      <c r="R23" s="22"/>
      <c r="S23" s="22"/>
      <c r="T23" s="22"/>
      <c r="U23" s="22"/>
      <c r="V23" s="22"/>
      <c r="W23" s="22"/>
      <c r="X23" s="22"/>
      <c r="Y23" s="22"/>
      <c r="Z23" s="22"/>
    </row>
    <row r="24" customFormat="false" ht="26.25" hidden="false" customHeight="true" outlineLevel="0" collapsed="false">
      <c r="A24" s="22" t="s">
        <v>3002</v>
      </c>
      <c r="B24" s="22" t="s">
        <v>3003</v>
      </c>
      <c r="C24" s="22" t="s">
        <v>348</v>
      </c>
      <c r="D24" s="22" t="s">
        <v>527</v>
      </c>
      <c r="E24" s="22" t="s">
        <v>3004</v>
      </c>
      <c r="F24" s="22"/>
      <c r="G24" s="22"/>
      <c r="H24" s="22"/>
      <c r="I24" s="22"/>
      <c r="J24" s="22"/>
      <c r="K24" s="22"/>
      <c r="L24" s="22"/>
      <c r="M24" s="22"/>
      <c r="N24" s="22"/>
      <c r="O24" s="22"/>
      <c r="P24" s="22"/>
      <c r="Q24" s="22"/>
      <c r="R24" s="22"/>
      <c r="S24" s="22"/>
      <c r="T24" s="22"/>
      <c r="U24" s="22"/>
      <c r="V24" s="22"/>
      <c r="W24" s="22"/>
      <c r="X24" s="22"/>
      <c r="Y24" s="22"/>
      <c r="Z24" s="22"/>
    </row>
    <row r="25" customFormat="false" ht="26.25" hidden="false" customHeight="true" outlineLevel="0" collapsed="false">
      <c r="A25" s="22" t="s">
        <v>3005</v>
      </c>
      <c r="B25" s="22" t="s">
        <v>3006</v>
      </c>
      <c r="C25" s="22" t="s">
        <v>348</v>
      </c>
      <c r="D25" s="22" t="s">
        <v>530</v>
      </c>
      <c r="E25" s="22" t="s">
        <v>3007</v>
      </c>
      <c r="F25" s="22"/>
      <c r="G25" s="22"/>
      <c r="H25" s="22"/>
      <c r="I25" s="22"/>
      <c r="J25" s="22"/>
      <c r="K25" s="22"/>
      <c r="L25" s="22"/>
      <c r="M25" s="22"/>
      <c r="N25" s="22"/>
      <c r="O25" s="22"/>
      <c r="P25" s="22"/>
      <c r="Q25" s="22"/>
      <c r="R25" s="22"/>
      <c r="S25" s="22"/>
      <c r="T25" s="22"/>
      <c r="U25" s="22"/>
      <c r="V25" s="22"/>
      <c r="W25" s="22"/>
      <c r="X25" s="22"/>
      <c r="Y25" s="22"/>
      <c r="Z25" s="22"/>
    </row>
    <row r="26" customFormat="false" ht="23.25" hidden="false" customHeight="true" outlineLevel="0" collapsed="false">
      <c r="A26" s="22" t="s">
        <v>3008</v>
      </c>
      <c r="B26" s="22" t="s">
        <v>3009</v>
      </c>
      <c r="C26" s="22" t="s">
        <v>348</v>
      </c>
      <c r="D26" s="22" t="s">
        <v>3010</v>
      </c>
      <c r="E26" s="22" t="s">
        <v>3011</v>
      </c>
      <c r="F26" s="22"/>
      <c r="G26" s="22"/>
      <c r="H26" s="22"/>
      <c r="I26" s="22"/>
      <c r="J26" s="22"/>
      <c r="K26" s="22"/>
      <c r="L26" s="22"/>
      <c r="M26" s="22"/>
      <c r="N26" s="22"/>
      <c r="O26" s="22"/>
      <c r="P26" s="22"/>
      <c r="Q26" s="22"/>
      <c r="R26" s="22"/>
      <c r="S26" s="22"/>
      <c r="T26" s="22"/>
      <c r="U26" s="22"/>
      <c r="V26" s="22"/>
      <c r="W26" s="22"/>
      <c r="X26" s="22"/>
      <c r="Y26" s="22"/>
      <c r="Z26" s="22"/>
    </row>
    <row r="27" customFormat="false" ht="23.25" hidden="false" customHeight="true" outlineLevel="0" collapsed="false">
      <c r="A27" s="22" t="s">
        <v>3012</v>
      </c>
      <c r="B27" s="22" t="s">
        <v>3013</v>
      </c>
      <c r="C27" s="22" t="s">
        <v>348</v>
      </c>
      <c r="D27" s="22" t="s">
        <v>3014</v>
      </c>
      <c r="E27" s="22" t="s">
        <v>3015</v>
      </c>
      <c r="F27" s="22"/>
      <c r="G27" s="22"/>
      <c r="H27" s="22"/>
      <c r="I27" s="22"/>
      <c r="J27" s="22"/>
      <c r="K27" s="22"/>
      <c r="L27" s="22"/>
      <c r="M27" s="22"/>
      <c r="N27" s="22"/>
      <c r="O27" s="22"/>
      <c r="P27" s="22"/>
      <c r="Q27" s="22"/>
      <c r="R27" s="22"/>
      <c r="S27" s="22"/>
      <c r="T27" s="22"/>
      <c r="U27" s="22"/>
      <c r="V27" s="22"/>
      <c r="W27" s="22"/>
      <c r="X27" s="22"/>
      <c r="Y27" s="22"/>
      <c r="Z27" s="22"/>
    </row>
    <row r="28" customFormat="false" ht="23.25" hidden="false" customHeight="true" outlineLevel="0" collapsed="false">
      <c r="A28" s="22" t="s">
        <v>3016</v>
      </c>
      <c r="B28" s="22" t="s">
        <v>3017</v>
      </c>
      <c r="C28" s="22" t="s">
        <v>348</v>
      </c>
      <c r="D28" s="22" t="s">
        <v>3018</v>
      </c>
      <c r="E28" s="22" t="s">
        <v>3019</v>
      </c>
      <c r="F28" s="22"/>
      <c r="G28" s="22"/>
      <c r="H28" s="22"/>
      <c r="I28" s="22"/>
      <c r="J28" s="22"/>
      <c r="K28" s="22"/>
      <c r="L28" s="22"/>
      <c r="M28" s="22"/>
      <c r="N28" s="22"/>
      <c r="O28" s="22"/>
      <c r="P28" s="22"/>
      <c r="Q28" s="22"/>
      <c r="R28" s="22"/>
      <c r="S28" s="22"/>
      <c r="T28" s="22"/>
      <c r="U28" s="22"/>
      <c r="V28" s="22"/>
      <c r="W28" s="22"/>
      <c r="X28" s="22"/>
      <c r="Y28" s="22"/>
      <c r="Z28" s="22"/>
    </row>
    <row r="29" customFormat="false" ht="23.25" hidden="false" customHeight="true" outlineLevel="0" collapsed="false">
      <c r="A29" s="22" t="s">
        <v>3020</v>
      </c>
      <c r="B29" s="22" t="s">
        <v>3021</v>
      </c>
      <c r="C29" s="22" t="s">
        <v>348</v>
      </c>
      <c r="D29" s="22" t="s">
        <v>3022</v>
      </c>
      <c r="E29" s="22" t="s">
        <v>3023</v>
      </c>
      <c r="F29" s="22"/>
      <c r="G29" s="22"/>
      <c r="H29" s="22"/>
      <c r="I29" s="22"/>
      <c r="J29" s="22"/>
      <c r="K29" s="22"/>
      <c r="L29" s="22"/>
      <c r="M29" s="22"/>
      <c r="N29" s="22"/>
      <c r="O29" s="22"/>
      <c r="P29" s="22"/>
      <c r="Q29" s="22"/>
      <c r="R29" s="22"/>
      <c r="S29" s="22"/>
      <c r="T29" s="22"/>
      <c r="U29" s="22"/>
      <c r="V29" s="22"/>
      <c r="W29" s="22"/>
      <c r="X29" s="22"/>
      <c r="Y29" s="22"/>
      <c r="Z29" s="22"/>
    </row>
    <row r="30" customFormat="false" ht="23.25" hidden="false" customHeight="true" outlineLevel="0" collapsed="false">
      <c r="A30" s="22" t="s">
        <v>3024</v>
      </c>
      <c r="B30" s="22" t="s">
        <v>3025</v>
      </c>
      <c r="C30" s="22" t="s">
        <v>348</v>
      </c>
      <c r="D30" s="22" t="s">
        <v>3026</v>
      </c>
      <c r="E30" s="22" t="s">
        <v>3027</v>
      </c>
      <c r="F30" s="22"/>
      <c r="G30" s="22"/>
      <c r="H30" s="22"/>
      <c r="I30" s="22"/>
      <c r="J30" s="22"/>
      <c r="K30" s="22"/>
      <c r="L30" s="22"/>
      <c r="M30" s="22"/>
      <c r="N30" s="22"/>
      <c r="O30" s="22"/>
      <c r="P30" s="22"/>
      <c r="Q30" s="22"/>
      <c r="R30" s="22"/>
      <c r="S30" s="22"/>
      <c r="T30" s="22"/>
      <c r="U30" s="22"/>
      <c r="V30" s="22"/>
      <c r="W30" s="22"/>
      <c r="X30" s="22"/>
      <c r="Y30" s="22"/>
      <c r="Z30" s="22"/>
    </row>
    <row r="31" customFormat="false" ht="12.75" hidden="false" customHeight="true" outlineLevel="0" collapsed="false">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row>
    <row r="32" customFormat="false" ht="12.75" hidden="false" customHeight="true" outlineLevel="0" collapsed="false">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row>
    <row r="33" customFormat="false" ht="12.75" hidden="false" customHeight="true" outlineLevel="0" collapsed="false">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row>
    <row r="34" customFormat="false" ht="12.75" hidden="false" customHeight="true" outlineLevel="0" collapsed="false">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row>
    <row r="35" customFormat="false" ht="12.75" hidden="false" customHeight="true" outlineLevel="0" collapsed="false">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row>
    <row r="36" customFormat="false" ht="12.75" hidden="false" customHeight="true" outlineLevel="0" collapsed="false">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customFormat="false" ht="12.75" hidden="false" customHeight="true" outlineLevel="0" collapsed="false">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row>
    <row r="38" customFormat="false" ht="12.75"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row>
    <row r="39" customFormat="false" ht="12.75" hidden="false" customHeight="true" outlineLevel="0" collapsed="false">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row>
    <row r="40" customFormat="false" ht="12.75" hidden="false" customHeight="true" outlineLevel="0" collapsed="false">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row>
    <row r="41" customFormat="false" ht="12.75" hidden="false" customHeight="true" outlineLevel="0" collapsed="false">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row>
    <row r="42" customFormat="false" ht="12.75" hidden="false" customHeight="true" outlineLevel="0" collapsed="false">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row>
    <row r="43" customFormat="false" ht="12.75" hidden="false" customHeight="true" outlineLevel="0" collapsed="false">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row>
    <row r="44" customFormat="false" ht="12.75" hidden="false" customHeight="true" outlineLevel="0" collapsed="false">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row>
    <row r="45" customFormat="false" ht="12.75" hidden="false" customHeight="true" outlineLevel="0" collapsed="false">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row>
    <row r="46" customFormat="false" ht="12.75" hidden="false" customHeight="true" outlineLevel="0" collapsed="false">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row>
    <row r="47" customFormat="false" ht="12.75" hidden="false" customHeight="true" outlineLevel="0" collapsed="false">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row>
    <row r="48" customFormat="false" ht="12.75" hidden="false" customHeight="true" outlineLevel="0" collapsed="false">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row>
    <row r="49" customFormat="false" ht="12.75" hidden="false" customHeight="true" outlineLevel="0" collapsed="false">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customFormat="false" ht="12.75" hidden="false" customHeight="true" outlineLevel="0" collapsed="false">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row>
    <row r="51" customFormat="false" ht="12.75" hidden="false" customHeight="true" outlineLevel="0" collapsed="false">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row>
    <row r="52" customFormat="false" ht="12.75" hidden="false" customHeight="true" outlineLevel="0" collapsed="false">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row>
    <row r="53" customFormat="false" ht="12.75" hidden="false" customHeight="true" outlineLevel="0" collapsed="false">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row>
    <row r="54" customFormat="false" ht="12.75" hidden="false" customHeight="true" outlineLevel="0" collapsed="false">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row>
    <row r="55" customFormat="false" ht="12.75" hidden="false" customHeight="true" outlineLevel="0" collapsed="false">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row>
    <row r="56" customFormat="false" ht="12.75" hidden="false" customHeight="true" outlineLevel="0" collapsed="false">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row>
    <row r="57" customFormat="false" ht="12.75" hidden="false" customHeight="true" outlineLevel="0" collapsed="false">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customFormat="false" ht="12.75" hidden="false" customHeight="true" outlineLevel="0" collapsed="false">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row>
    <row r="59" customFormat="false" ht="12.75" hidden="false" customHeight="true" outlineLevel="0" collapsed="false">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row>
    <row r="60" customFormat="false" ht="12.75" hidden="false" customHeight="true" outlineLevel="0" collapsed="false">
      <c r="A60" s="22"/>
      <c r="B60" s="22"/>
      <c r="C60" s="22"/>
      <c r="D60" s="22"/>
      <c r="E60" s="22"/>
      <c r="F60" s="22"/>
      <c r="G60" s="22"/>
      <c r="H60" s="22"/>
      <c r="I60" s="22"/>
      <c r="J60" s="22"/>
      <c r="K60" s="22"/>
      <c r="L60" s="22"/>
      <c r="M60" s="22"/>
      <c r="N60" s="22"/>
      <c r="O60" s="22"/>
      <c r="P60" s="22"/>
      <c r="Q60" s="22"/>
      <c r="R60" s="22"/>
      <c r="S60" s="22"/>
      <c r="T60" s="22"/>
      <c r="U60" s="22"/>
      <c r="V60" s="22"/>
      <c r="W60" s="22"/>
      <c r="X60" s="22"/>
      <c r="Y60" s="22"/>
      <c r="Z60" s="22"/>
    </row>
    <row r="61" customFormat="false" ht="12.75" hidden="false" customHeight="true" outlineLevel="0" collapsed="false">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row>
    <row r="62" customFormat="false" ht="12.75" hidden="false" customHeight="true" outlineLevel="0" collapsed="false">
      <c r="A62" s="22"/>
      <c r="B62" s="22"/>
      <c r="C62" s="22"/>
      <c r="D62" s="22"/>
      <c r="E62" s="22"/>
      <c r="F62" s="22"/>
      <c r="G62" s="22"/>
      <c r="H62" s="22"/>
      <c r="I62" s="22"/>
      <c r="J62" s="22"/>
      <c r="K62" s="22"/>
      <c r="L62" s="22"/>
      <c r="M62" s="22"/>
      <c r="N62" s="22"/>
      <c r="O62" s="22"/>
      <c r="P62" s="22"/>
      <c r="Q62" s="22"/>
      <c r="R62" s="22"/>
      <c r="S62" s="22"/>
      <c r="T62" s="22"/>
      <c r="U62" s="22"/>
      <c r="V62" s="22"/>
      <c r="W62" s="22"/>
      <c r="X62" s="22"/>
      <c r="Y62" s="22"/>
      <c r="Z62" s="22"/>
    </row>
    <row r="63" customFormat="false" ht="12.75" hidden="false" customHeight="true" outlineLevel="0" collapsed="false">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row>
    <row r="64" customFormat="false" ht="12.75" hidden="false" customHeight="true" outlineLevel="0" collapsed="false">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row>
    <row r="65" customFormat="false" ht="12.75" hidden="false" customHeight="true" outlineLevel="0" collapsed="false">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row>
    <row r="66" customFormat="false" ht="12.75" hidden="false" customHeight="true" outlineLevel="0" collapsed="false">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row>
    <row r="67" customFormat="false" ht="12.75" hidden="false" customHeight="true" outlineLevel="0" collapsed="false">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row>
    <row r="68" customFormat="false" ht="12.75" hidden="false" customHeight="true" outlineLevel="0" collapsed="false">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row>
    <row r="69" customFormat="false" ht="12.75" hidden="false" customHeight="true" outlineLevel="0" collapsed="false">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row>
    <row r="70" customFormat="false" ht="12.75" hidden="false" customHeight="true" outlineLevel="0" collapsed="false">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row>
    <row r="71" customFormat="false" ht="12.75" hidden="false" customHeight="true" outlineLevel="0" collapsed="false">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row>
    <row r="72" customFormat="false" ht="12.75" hidden="false" customHeight="true" outlineLevel="0" collapsed="false">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row>
    <row r="73" customFormat="false" ht="12.75" hidden="false" customHeight="true" outlineLevel="0" collapsed="false">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row>
    <row r="74" customFormat="false" ht="12.75" hidden="false" customHeight="true" outlineLevel="0" collapsed="false">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row>
    <row r="75" customFormat="false" ht="12.75" hidden="false" customHeight="true" outlineLevel="0" collapsed="false">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row>
    <row r="76" customFormat="false" ht="12.75" hidden="false" customHeight="true" outlineLevel="0" collapsed="false">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row>
    <row r="77" customFormat="false" ht="12.75" hidden="false" customHeight="true" outlineLevel="0" collapsed="false">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row>
    <row r="78" customFormat="false" ht="12.75" hidden="false" customHeight="true" outlineLevel="0" collapsed="false">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row>
    <row r="79" customFormat="false" ht="12.75" hidden="false" customHeight="true" outlineLevel="0" collapsed="false">
      <c r="A79" s="22"/>
      <c r="B79" s="22"/>
      <c r="C79" s="22"/>
      <c r="D79" s="22"/>
      <c r="E79" s="22"/>
      <c r="F79" s="22"/>
      <c r="G79" s="22"/>
      <c r="H79" s="22"/>
      <c r="I79" s="22"/>
      <c r="J79" s="22"/>
      <c r="K79" s="22"/>
      <c r="L79" s="22"/>
      <c r="M79" s="22"/>
      <c r="N79" s="22"/>
      <c r="O79" s="22"/>
      <c r="P79" s="22"/>
      <c r="Q79" s="22"/>
      <c r="R79" s="22"/>
      <c r="S79" s="22"/>
      <c r="T79" s="22"/>
      <c r="U79" s="22"/>
      <c r="V79" s="22"/>
      <c r="W79" s="22"/>
      <c r="X79" s="22"/>
      <c r="Y79" s="22"/>
      <c r="Z79" s="22"/>
    </row>
    <row r="80" customFormat="false" ht="12.75" hidden="false" customHeight="true" outlineLevel="0" collapsed="false">
      <c r="A80" s="22"/>
      <c r="B80" s="22"/>
      <c r="C80" s="22"/>
      <c r="D80" s="22"/>
      <c r="E80" s="22"/>
      <c r="F80" s="22"/>
      <c r="G80" s="22"/>
      <c r="H80" s="22"/>
      <c r="I80" s="22"/>
      <c r="J80" s="22"/>
      <c r="K80" s="22"/>
      <c r="L80" s="22"/>
      <c r="M80" s="22"/>
      <c r="N80" s="22"/>
      <c r="O80" s="22"/>
      <c r="P80" s="22"/>
      <c r="Q80" s="22"/>
      <c r="R80" s="22"/>
      <c r="S80" s="22"/>
      <c r="T80" s="22"/>
      <c r="U80" s="22"/>
      <c r="V80" s="22"/>
      <c r="W80" s="22"/>
      <c r="X80" s="22"/>
      <c r="Y80" s="22"/>
      <c r="Z80" s="22"/>
    </row>
    <row r="81" customFormat="false" ht="12.75" hidden="false" customHeight="true" outlineLevel="0" collapsed="false">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row>
    <row r="82" customFormat="false" ht="12.75" hidden="false" customHeight="true" outlineLevel="0" collapsed="false">
      <c r="A82" s="22"/>
      <c r="B82" s="22"/>
      <c r="C82" s="22"/>
      <c r="D82" s="22"/>
      <c r="E82" s="22"/>
      <c r="F82" s="22"/>
      <c r="G82" s="22"/>
      <c r="H82" s="22"/>
      <c r="I82" s="22"/>
      <c r="J82" s="22"/>
      <c r="K82" s="22"/>
      <c r="L82" s="22"/>
      <c r="M82" s="22"/>
      <c r="N82" s="22"/>
      <c r="O82" s="22"/>
      <c r="P82" s="22"/>
      <c r="Q82" s="22"/>
      <c r="R82" s="22"/>
      <c r="S82" s="22"/>
      <c r="T82" s="22"/>
      <c r="U82" s="22"/>
      <c r="V82" s="22"/>
      <c r="W82" s="22"/>
      <c r="X82" s="22"/>
      <c r="Y82" s="22"/>
      <c r="Z82" s="22"/>
    </row>
    <row r="83" customFormat="false" ht="12.75" hidden="false" customHeight="true" outlineLevel="0" collapsed="false">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row>
    <row r="84" customFormat="false" ht="12.75" hidden="false" customHeight="true" outlineLevel="0" collapsed="false">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row>
    <row r="85" customFormat="false" ht="12.75" hidden="false" customHeight="true" outlineLevel="0" collapsed="false">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row>
    <row r="86" customFormat="false" ht="12.75" hidden="false" customHeight="true" outlineLevel="0" collapsed="false">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row>
    <row r="87" customFormat="false" ht="12.75" hidden="false" customHeight="true" outlineLevel="0" collapsed="false">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row>
    <row r="88" customFormat="false" ht="12.75" hidden="false" customHeight="true" outlineLevel="0" collapsed="false">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row>
    <row r="89" customFormat="false" ht="12.75" hidden="false" customHeight="true" outlineLevel="0" collapsed="false">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row>
    <row r="90" customFormat="false" ht="12.75" hidden="false" customHeight="true" outlineLevel="0" collapsed="false">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row>
    <row r="91" customFormat="false" ht="12.75" hidden="false" customHeight="true" outlineLevel="0" collapsed="false">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row>
    <row r="92" customFormat="false" ht="12.75" hidden="false" customHeight="true" outlineLevel="0" collapsed="false">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row>
    <row r="93" customFormat="false" ht="12.75" hidden="false" customHeight="true" outlineLevel="0" collapsed="false">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row>
    <row r="94" customFormat="false" ht="12.75" hidden="false" customHeight="true" outlineLevel="0" collapsed="false">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row>
    <row r="95" customFormat="false" ht="12.75" hidden="false" customHeight="true" outlineLevel="0" collapsed="false">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row>
    <row r="96" customFormat="false" ht="12.75" hidden="false" customHeight="true" outlineLevel="0" collapsed="false">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row>
    <row r="97" customFormat="false" ht="12.75" hidden="false" customHeight="true" outlineLevel="0" collapsed="false">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row>
    <row r="98" customFormat="false" ht="12.75" hidden="false" customHeight="true" outlineLevel="0" collapsed="false">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row>
    <row r="99" customFormat="false" ht="12.75" hidden="false" customHeight="true" outlineLevel="0" collapsed="false">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row>
    <row r="100" customFormat="false" ht="12.75" hidden="false" customHeight="true" outlineLevel="0" collapsed="false">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1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32"/>
    <col collapsed="false" customWidth="true" hidden="false" outlineLevel="0" max="2" min="2" style="1" width="36"/>
    <col collapsed="false" customWidth="true" hidden="false" outlineLevel="0" max="3" min="3" style="1" width="11"/>
    <col collapsed="false" customWidth="true" hidden="false" outlineLevel="0" max="4" min="4" style="1" width="36"/>
  </cols>
  <sheetData>
    <row r="1" customFormat="false" ht="12.75" hidden="false" customHeight="true" outlineLevel="0" collapsed="false">
      <c r="A1" s="21" t="s">
        <v>3028</v>
      </c>
      <c r="B1" s="21" t="s">
        <v>3029</v>
      </c>
      <c r="C1" s="21" t="s">
        <v>2939</v>
      </c>
      <c r="D1" s="21" t="s">
        <v>2850</v>
      </c>
    </row>
    <row r="2" customFormat="false" ht="12.75" hidden="false" customHeight="true" outlineLevel="0" collapsed="false">
      <c r="A2" s="22" t="s">
        <v>3030</v>
      </c>
      <c r="B2" s="22" t="s">
        <v>1755</v>
      </c>
      <c r="C2" s="22" t="s">
        <v>3031</v>
      </c>
      <c r="D2" s="22" t="s">
        <v>3032</v>
      </c>
    </row>
    <row r="3" customFormat="false" ht="12.75" hidden="false" customHeight="true" outlineLevel="0" collapsed="false">
      <c r="A3" s="22" t="s">
        <v>3033</v>
      </c>
      <c r="B3" s="22" t="s">
        <v>3034</v>
      </c>
      <c r="C3" s="22" t="s">
        <v>3031</v>
      </c>
      <c r="D3" s="22" t="s">
        <v>3035</v>
      </c>
    </row>
    <row r="4" customFormat="false" ht="12.75" hidden="false" customHeight="true" outlineLevel="0" collapsed="false">
      <c r="A4" s="22" t="s">
        <v>3036</v>
      </c>
      <c r="B4" s="22" t="s">
        <v>3037</v>
      </c>
      <c r="C4" s="22" t="s">
        <v>3031</v>
      </c>
      <c r="D4" s="22" t="s">
        <v>3038</v>
      </c>
    </row>
    <row r="5" customFormat="false" ht="12.75" hidden="false" customHeight="true" outlineLevel="0" collapsed="false">
      <c r="A5" s="22" t="s">
        <v>3039</v>
      </c>
      <c r="B5" s="22" t="s">
        <v>296</v>
      </c>
      <c r="C5" s="22" t="s">
        <v>3031</v>
      </c>
      <c r="D5" s="22" t="s">
        <v>3040</v>
      </c>
    </row>
    <row r="6" customFormat="false" ht="12.75" hidden="false" customHeight="true" outlineLevel="0" collapsed="false">
      <c r="A6" s="22" t="s">
        <v>3041</v>
      </c>
      <c r="B6" s="22" t="s">
        <v>3042</v>
      </c>
      <c r="C6" s="22" t="s">
        <v>3031</v>
      </c>
      <c r="D6" s="22" t="s">
        <v>3043</v>
      </c>
    </row>
    <row r="7" customFormat="false" ht="12.75" hidden="false" customHeight="true" outlineLevel="0" collapsed="false">
      <c r="A7" s="22" t="s">
        <v>3044</v>
      </c>
      <c r="B7" s="22" t="s">
        <v>3045</v>
      </c>
      <c r="C7" s="22" t="s">
        <v>3031</v>
      </c>
      <c r="D7" s="22" t="s">
        <v>3046</v>
      </c>
    </row>
    <row r="8" customFormat="false" ht="12.75" hidden="false" customHeight="true" outlineLevel="0" collapsed="false">
      <c r="A8" s="22" t="s">
        <v>3047</v>
      </c>
      <c r="B8" s="22" t="s">
        <v>3048</v>
      </c>
      <c r="C8" s="22" t="s">
        <v>3031</v>
      </c>
      <c r="D8" s="22" t="s">
        <v>3049</v>
      </c>
    </row>
    <row r="9" customFormat="false" ht="12.75" hidden="false" customHeight="true" outlineLevel="0" collapsed="false">
      <c r="A9" s="22" t="s">
        <v>3050</v>
      </c>
      <c r="B9" s="22" t="s">
        <v>3051</v>
      </c>
      <c r="C9" s="22" t="s">
        <v>3031</v>
      </c>
      <c r="D9" s="22" t="s">
        <v>3052</v>
      </c>
    </row>
    <row r="10" customFormat="false" ht="12.75" hidden="false" customHeight="true" outlineLevel="0" collapsed="false">
      <c r="A10" s="22" t="s">
        <v>3053</v>
      </c>
      <c r="B10" s="22" t="s">
        <v>3054</v>
      </c>
      <c r="C10" s="22" t="s">
        <v>3031</v>
      </c>
      <c r="D10" s="22" t="s">
        <v>3055</v>
      </c>
    </row>
    <row r="11" customFormat="false" ht="12.75" hidden="false" customHeight="true" outlineLevel="0" collapsed="false">
      <c r="A11" s="22" t="s">
        <v>3056</v>
      </c>
      <c r="B11" s="22" t="s">
        <v>3057</v>
      </c>
      <c r="C11" s="22" t="s">
        <v>3031</v>
      </c>
      <c r="D11" s="22" t="s">
        <v>3058</v>
      </c>
    </row>
    <row r="12" customFormat="false" ht="12.75" hidden="false" customHeight="true" outlineLevel="0" collapsed="false">
      <c r="A12" s="22" t="s">
        <v>3059</v>
      </c>
      <c r="B12" s="22" t="s">
        <v>3060</v>
      </c>
      <c r="C12" s="22" t="s">
        <v>3031</v>
      </c>
      <c r="D12" s="22" t="s">
        <v>3061</v>
      </c>
    </row>
    <row r="13" customFormat="false" ht="12.75" hidden="false" customHeight="true" outlineLevel="0" collapsed="false">
      <c r="A13" s="22" t="s">
        <v>3062</v>
      </c>
      <c r="B13" s="22" t="s">
        <v>3063</v>
      </c>
      <c r="C13" s="22" t="s">
        <v>3031</v>
      </c>
      <c r="D13" s="22" t="s">
        <v>3064</v>
      </c>
    </row>
    <row r="14" customFormat="false" ht="12.75" hidden="false" customHeight="true" outlineLevel="0" collapsed="false">
      <c r="A14" s="22" t="s">
        <v>2824</v>
      </c>
      <c r="B14" s="22" t="s">
        <v>3065</v>
      </c>
      <c r="C14" s="22" t="s">
        <v>3031</v>
      </c>
      <c r="D14" s="22" t="s">
        <v>3066</v>
      </c>
    </row>
    <row r="15" customFormat="false" ht="12.75" hidden="false" customHeight="true" outlineLevel="0" collapsed="false">
      <c r="A15" s="22" t="s">
        <v>2825</v>
      </c>
      <c r="B15" s="22" t="s">
        <v>2766</v>
      </c>
      <c r="C15" s="22" t="s">
        <v>3031</v>
      </c>
      <c r="D15" s="22" t="s">
        <v>3067</v>
      </c>
    </row>
    <row r="16" customFormat="false" ht="12.75" hidden="false" customHeight="true" outlineLevel="0" collapsed="false">
      <c r="A16" s="22" t="s">
        <v>3068</v>
      </c>
      <c r="B16" s="22" t="s">
        <v>3069</v>
      </c>
      <c r="C16" s="22" t="s">
        <v>3031</v>
      </c>
      <c r="D16" s="22" t="s">
        <v>3070</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3" min="1" style="1" width="36"/>
    <col collapsed="false" customWidth="true" hidden="false" outlineLevel="0" max="12" min="4" style="2" width="10"/>
  </cols>
  <sheetData>
    <row r="1" customFormat="false" ht="12.75" hidden="false" customHeight="true" outlineLevel="0" collapsed="false">
      <c r="A1" s="21" t="s">
        <v>241</v>
      </c>
      <c r="B1" s="21" t="s">
        <v>242</v>
      </c>
      <c r="C1" s="21" t="s">
        <v>979</v>
      </c>
      <c r="D1" s="21"/>
      <c r="E1" s="21"/>
      <c r="F1" s="21"/>
      <c r="G1" s="21"/>
      <c r="H1" s="21"/>
      <c r="I1" s="21"/>
      <c r="J1" s="21"/>
      <c r="K1" s="21"/>
      <c r="L1" s="21"/>
      <c r="M1" s="21"/>
      <c r="N1" s="21"/>
      <c r="O1" s="21"/>
      <c r="P1" s="21"/>
      <c r="Q1" s="21"/>
      <c r="R1" s="21"/>
      <c r="S1" s="21"/>
      <c r="T1" s="21"/>
      <c r="U1" s="21"/>
      <c r="V1" s="21"/>
      <c r="W1" s="21"/>
      <c r="X1" s="21"/>
      <c r="Y1" s="21"/>
      <c r="Z1" s="21"/>
    </row>
    <row r="2" customFormat="false" ht="26.25" hidden="false" customHeight="true" outlineLevel="0" collapsed="false">
      <c r="A2" s="22" t="s">
        <v>2220</v>
      </c>
      <c r="B2" s="22" t="s">
        <v>2221</v>
      </c>
      <c r="C2" s="22" t="s">
        <v>3071</v>
      </c>
      <c r="D2" s="22"/>
      <c r="E2" s="22"/>
      <c r="F2" s="22"/>
      <c r="G2" s="22"/>
      <c r="H2" s="22"/>
      <c r="I2" s="22"/>
      <c r="J2" s="22"/>
      <c r="K2" s="22"/>
      <c r="L2" s="22"/>
      <c r="M2" s="22"/>
      <c r="N2" s="22"/>
      <c r="O2" s="22"/>
      <c r="P2" s="22"/>
      <c r="Q2" s="22"/>
      <c r="R2" s="22"/>
      <c r="S2" s="22"/>
      <c r="T2" s="22"/>
      <c r="U2" s="22"/>
      <c r="V2" s="22"/>
      <c r="W2" s="22"/>
      <c r="X2" s="22"/>
      <c r="Y2" s="22"/>
      <c r="Z2" s="22"/>
    </row>
    <row r="3" customFormat="false" ht="26.25" hidden="false" customHeight="true" outlineLevel="0" collapsed="false">
      <c r="A3" s="22" t="s">
        <v>3072</v>
      </c>
      <c r="B3" s="22" t="s">
        <v>3073</v>
      </c>
      <c r="C3" s="22" t="s">
        <v>3074</v>
      </c>
      <c r="D3" s="22"/>
      <c r="E3" s="22"/>
      <c r="F3" s="22"/>
      <c r="G3" s="22"/>
      <c r="H3" s="22"/>
      <c r="I3" s="22"/>
      <c r="J3" s="22"/>
      <c r="K3" s="22"/>
      <c r="L3" s="22"/>
      <c r="M3" s="22"/>
      <c r="N3" s="22"/>
      <c r="O3" s="22"/>
      <c r="P3" s="22"/>
      <c r="Q3" s="22"/>
      <c r="R3" s="22"/>
      <c r="S3" s="22"/>
      <c r="T3" s="22"/>
      <c r="U3" s="22"/>
      <c r="V3" s="22"/>
      <c r="W3" s="22"/>
      <c r="X3" s="22"/>
      <c r="Y3" s="22"/>
      <c r="Z3" s="22"/>
    </row>
    <row r="4" customFormat="false" ht="12.75" hidden="false" customHeight="true" outlineLevel="0" collapsed="false">
      <c r="A4" s="22" t="s">
        <v>3075</v>
      </c>
      <c r="B4" s="22" t="s">
        <v>3076</v>
      </c>
      <c r="C4" s="22" t="s">
        <v>3077</v>
      </c>
      <c r="D4" s="22"/>
      <c r="E4" s="22"/>
      <c r="F4" s="22"/>
      <c r="G4" s="22"/>
      <c r="H4" s="22"/>
      <c r="I4" s="22"/>
      <c r="J4" s="22"/>
      <c r="K4" s="22"/>
      <c r="L4" s="22"/>
      <c r="M4" s="22"/>
      <c r="N4" s="22"/>
      <c r="O4" s="22"/>
      <c r="P4" s="22"/>
      <c r="Q4" s="22"/>
      <c r="R4" s="22"/>
      <c r="S4" s="22"/>
      <c r="T4" s="22"/>
      <c r="U4" s="22"/>
      <c r="V4" s="22"/>
      <c r="W4" s="22"/>
      <c r="X4" s="22"/>
      <c r="Y4" s="22"/>
      <c r="Z4" s="22"/>
    </row>
    <row r="5" customFormat="false" ht="26.25" hidden="false" customHeight="true" outlineLevel="0" collapsed="false">
      <c r="A5" s="22" t="s">
        <v>3078</v>
      </c>
      <c r="B5" s="22" t="s">
        <v>3079</v>
      </c>
      <c r="C5" s="22" t="s">
        <v>3080</v>
      </c>
      <c r="D5" s="22"/>
      <c r="E5" s="22"/>
      <c r="F5" s="22"/>
      <c r="G5" s="22"/>
      <c r="H5" s="22"/>
      <c r="I5" s="22"/>
      <c r="J5" s="22"/>
      <c r="K5" s="22"/>
      <c r="L5" s="22"/>
      <c r="M5" s="22"/>
      <c r="N5" s="22"/>
      <c r="O5" s="22"/>
      <c r="P5" s="22"/>
      <c r="Q5" s="22"/>
      <c r="R5" s="22"/>
      <c r="S5" s="22"/>
      <c r="T5" s="22"/>
      <c r="U5" s="22"/>
      <c r="V5" s="22"/>
      <c r="W5" s="22"/>
      <c r="X5" s="22"/>
      <c r="Y5" s="22"/>
      <c r="Z5" s="22"/>
    </row>
    <row r="6" customFormat="false" ht="12.75" hidden="false" customHeight="true" outlineLevel="0" collapsed="false">
      <c r="A6" s="22" t="s">
        <v>3081</v>
      </c>
      <c r="B6" s="22" t="s">
        <v>3082</v>
      </c>
      <c r="C6" s="22" t="s">
        <v>3083</v>
      </c>
      <c r="D6" s="22"/>
      <c r="E6" s="22"/>
      <c r="F6" s="22"/>
      <c r="G6" s="22"/>
      <c r="H6" s="22"/>
      <c r="I6" s="22"/>
      <c r="J6" s="22"/>
      <c r="K6" s="22"/>
      <c r="L6" s="22"/>
      <c r="M6" s="22"/>
      <c r="N6" s="22"/>
      <c r="O6" s="22"/>
      <c r="P6" s="22"/>
      <c r="Q6" s="22"/>
      <c r="R6" s="22"/>
      <c r="S6" s="22"/>
      <c r="T6" s="22"/>
      <c r="U6" s="22"/>
      <c r="V6" s="22"/>
      <c r="W6" s="22"/>
      <c r="X6" s="22"/>
      <c r="Y6" s="22"/>
      <c r="Z6" s="22"/>
    </row>
    <row r="7" customFormat="false" ht="12.75" hidden="false" customHeight="true" outlineLevel="0" collapsed="false">
      <c r="A7" s="22" t="s">
        <v>3084</v>
      </c>
      <c r="B7" s="22" t="s">
        <v>3085</v>
      </c>
      <c r="C7" s="22" t="s">
        <v>3086</v>
      </c>
      <c r="D7" s="22"/>
      <c r="E7" s="22"/>
      <c r="F7" s="22"/>
      <c r="G7" s="22"/>
      <c r="H7" s="22"/>
      <c r="I7" s="22"/>
      <c r="J7" s="22"/>
      <c r="K7" s="22"/>
      <c r="L7" s="22"/>
      <c r="M7" s="22"/>
      <c r="N7" s="22"/>
      <c r="O7" s="22"/>
      <c r="P7" s="22"/>
      <c r="Q7" s="22"/>
      <c r="R7" s="22"/>
      <c r="S7" s="22"/>
      <c r="T7" s="22"/>
      <c r="U7" s="22"/>
      <c r="V7" s="22"/>
      <c r="W7" s="22"/>
      <c r="X7" s="22"/>
      <c r="Y7" s="22"/>
      <c r="Z7" s="22"/>
    </row>
    <row r="8" customFormat="false" ht="12.75" hidden="false" customHeight="true" outlineLevel="0" collapsed="false">
      <c r="A8" s="22"/>
      <c r="B8" s="22"/>
      <c r="C8" s="22"/>
      <c r="D8" s="22"/>
      <c r="E8" s="22"/>
      <c r="F8" s="22"/>
      <c r="G8" s="22"/>
      <c r="H8" s="22"/>
      <c r="I8" s="22"/>
      <c r="J8" s="22"/>
      <c r="K8" s="22"/>
      <c r="L8" s="22"/>
      <c r="M8" s="22"/>
      <c r="N8" s="22"/>
      <c r="O8" s="22"/>
      <c r="P8" s="22"/>
      <c r="Q8" s="22"/>
      <c r="R8" s="22"/>
      <c r="S8" s="22"/>
      <c r="T8" s="22"/>
      <c r="U8" s="22"/>
      <c r="V8" s="22"/>
      <c r="W8" s="22"/>
      <c r="X8" s="22"/>
      <c r="Y8" s="22"/>
      <c r="Z8" s="22"/>
    </row>
    <row r="9" customFormat="false" ht="12.75" hidden="false" customHeight="true" outlineLevel="0" collapsed="false">
      <c r="A9" s="22"/>
      <c r="B9" s="22"/>
      <c r="C9" s="22"/>
      <c r="D9" s="22"/>
      <c r="E9" s="22"/>
      <c r="F9" s="22"/>
      <c r="G9" s="22"/>
      <c r="H9" s="22"/>
      <c r="I9" s="22"/>
      <c r="J9" s="22"/>
      <c r="K9" s="22"/>
      <c r="L9" s="22"/>
      <c r="M9" s="22"/>
      <c r="N9" s="22"/>
      <c r="O9" s="22"/>
      <c r="P9" s="22"/>
      <c r="Q9" s="22"/>
      <c r="R9" s="22"/>
      <c r="S9" s="22"/>
      <c r="T9" s="22"/>
      <c r="U9" s="22"/>
      <c r="V9" s="22"/>
      <c r="W9" s="22"/>
      <c r="X9" s="22"/>
      <c r="Y9" s="22"/>
      <c r="Z9" s="22"/>
    </row>
    <row r="10" customFormat="false" ht="12.75" hidden="false" customHeight="true" outlineLevel="0" collapsed="false">
      <c r="A10" s="22"/>
      <c r="B10" s="22"/>
      <c r="C10" s="22"/>
      <c r="D10" s="22"/>
      <c r="E10" s="22"/>
      <c r="F10" s="22"/>
      <c r="G10" s="22"/>
      <c r="H10" s="22"/>
      <c r="I10" s="22"/>
      <c r="J10" s="22"/>
      <c r="K10" s="22"/>
      <c r="L10" s="22"/>
      <c r="M10" s="22"/>
      <c r="N10" s="22"/>
      <c r="O10" s="22"/>
      <c r="P10" s="22"/>
      <c r="Q10" s="22"/>
      <c r="R10" s="22"/>
      <c r="S10" s="22"/>
      <c r="T10" s="22"/>
      <c r="U10" s="22"/>
      <c r="V10" s="22"/>
      <c r="W10" s="22"/>
      <c r="X10" s="22"/>
      <c r="Y10" s="22"/>
      <c r="Z10" s="22"/>
    </row>
    <row r="11" customFormat="false" ht="12.75" hidden="false" customHeight="true" outlineLevel="0" collapsed="false">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row>
    <row r="12" customFormat="false" ht="12.75" hidden="false" customHeight="true" outlineLevel="0" collapsed="false">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row>
    <row r="13" customFormat="false" ht="12.75" hidden="false" customHeight="true" outlineLevel="0" collapsed="false">
      <c r="A13" s="22"/>
      <c r="B13" s="22"/>
      <c r="C13" s="22"/>
      <c r="D13" s="22"/>
      <c r="E13" s="22"/>
      <c r="F13" s="22"/>
      <c r="G13" s="22"/>
      <c r="H13" s="22"/>
      <c r="I13" s="22"/>
      <c r="J13" s="22"/>
      <c r="K13" s="22"/>
      <c r="L13" s="22"/>
      <c r="M13" s="22"/>
      <c r="N13" s="22"/>
      <c r="O13" s="22"/>
      <c r="P13" s="22"/>
      <c r="Q13" s="22"/>
      <c r="R13" s="22"/>
      <c r="S13" s="22"/>
      <c r="T13" s="22"/>
      <c r="U13" s="22"/>
      <c r="V13" s="22"/>
      <c r="W13" s="22"/>
      <c r="X13" s="22"/>
      <c r="Y13" s="22"/>
      <c r="Z13" s="22"/>
    </row>
    <row r="14" customFormat="false" ht="12.75" hidden="false" customHeight="true" outlineLevel="0" collapsed="false">
      <c r="A14" s="22"/>
      <c r="B14" s="22"/>
      <c r="C14" s="22"/>
      <c r="D14" s="22"/>
      <c r="E14" s="22"/>
      <c r="F14" s="22"/>
      <c r="G14" s="22"/>
      <c r="H14" s="22"/>
      <c r="I14" s="22"/>
      <c r="J14" s="22"/>
      <c r="K14" s="22"/>
      <c r="L14" s="22"/>
      <c r="M14" s="22"/>
      <c r="N14" s="22"/>
      <c r="O14" s="22"/>
      <c r="P14" s="22"/>
      <c r="Q14" s="22"/>
      <c r="R14" s="22"/>
      <c r="S14" s="22"/>
      <c r="T14" s="22"/>
      <c r="U14" s="22"/>
      <c r="V14" s="22"/>
      <c r="W14" s="22"/>
      <c r="X14" s="22"/>
      <c r="Y14" s="22"/>
      <c r="Z14" s="22"/>
    </row>
    <row r="15" customFormat="false" ht="12.75" hidden="false" customHeight="true" outlineLevel="0" collapsed="false">
      <c r="A15" s="22"/>
      <c r="B15" s="22"/>
      <c r="C15" s="22"/>
      <c r="D15" s="22"/>
      <c r="E15" s="22"/>
      <c r="F15" s="22"/>
      <c r="G15" s="22"/>
      <c r="H15" s="22"/>
      <c r="I15" s="22"/>
      <c r="J15" s="22"/>
      <c r="K15" s="22"/>
      <c r="L15" s="22"/>
      <c r="M15" s="22"/>
      <c r="N15" s="22"/>
      <c r="O15" s="22"/>
      <c r="P15" s="22"/>
      <c r="Q15" s="22"/>
      <c r="R15" s="22"/>
      <c r="S15" s="22"/>
      <c r="T15" s="22"/>
      <c r="U15" s="22"/>
      <c r="V15" s="22"/>
      <c r="W15" s="22"/>
      <c r="X15" s="22"/>
      <c r="Y15" s="22"/>
      <c r="Z15" s="22"/>
    </row>
    <row r="16" customFormat="false" ht="12.75" hidden="false" customHeight="true" outlineLevel="0" collapsed="false">
      <c r="A16" s="22"/>
      <c r="B16" s="22"/>
      <c r="C16" s="22"/>
      <c r="D16" s="22"/>
      <c r="E16" s="22"/>
      <c r="F16" s="22"/>
      <c r="G16" s="22"/>
      <c r="H16" s="22"/>
      <c r="I16" s="22"/>
      <c r="J16" s="22"/>
      <c r="K16" s="22"/>
      <c r="L16" s="22"/>
      <c r="M16" s="22"/>
      <c r="N16" s="22"/>
      <c r="O16" s="22"/>
      <c r="P16" s="22"/>
      <c r="Q16" s="22"/>
      <c r="R16" s="22"/>
      <c r="S16" s="22"/>
      <c r="T16" s="22"/>
      <c r="U16" s="22"/>
      <c r="V16" s="22"/>
      <c r="W16" s="22"/>
      <c r="X16" s="22"/>
      <c r="Y16" s="22"/>
      <c r="Z16" s="22"/>
    </row>
    <row r="17" customFormat="false" ht="12.75" hidden="false" customHeight="true" outlineLevel="0" collapsed="false">
      <c r="A17" s="22"/>
      <c r="B17" s="22"/>
      <c r="C17" s="22"/>
      <c r="D17" s="22"/>
      <c r="E17" s="22"/>
      <c r="F17" s="22"/>
      <c r="G17" s="22"/>
      <c r="H17" s="22"/>
      <c r="I17" s="22"/>
      <c r="J17" s="22"/>
      <c r="K17" s="22"/>
      <c r="L17" s="22"/>
      <c r="M17" s="22"/>
      <c r="N17" s="22"/>
      <c r="O17" s="22"/>
      <c r="P17" s="22"/>
      <c r="Q17" s="22"/>
      <c r="R17" s="22"/>
      <c r="S17" s="22"/>
      <c r="T17" s="22"/>
      <c r="U17" s="22"/>
      <c r="V17" s="22"/>
      <c r="W17" s="22"/>
      <c r="X17" s="22"/>
      <c r="Y17" s="22"/>
      <c r="Z17" s="22"/>
    </row>
    <row r="18" customFormat="false" ht="12.75" hidden="false" customHeight="true" outlineLevel="0" collapsed="false">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row>
    <row r="19" customFormat="false" ht="12.75" hidden="false" customHeight="true" outlineLevel="0" collapsed="false">
      <c r="A19" s="22"/>
      <c r="B19" s="22"/>
      <c r="C19" s="22"/>
      <c r="D19" s="22"/>
      <c r="E19" s="22"/>
      <c r="F19" s="22"/>
      <c r="G19" s="22"/>
      <c r="H19" s="22"/>
      <c r="I19" s="22"/>
      <c r="J19" s="22"/>
      <c r="K19" s="22"/>
      <c r="L19" s="22"/>
      <c r="M19" s="22"/>
      <c r="N19" s="22"/>
      <c r="O19" s="22"/>
      <c r="P19" s="22"/>
      <c r="Q19" s="22"/>
      <c r="R19" s="22"/>
      <c r="S19" s="22"/>
      <c r="T19" s="22"/>
      <c r="U19" s="22"/>
      <c r="V19" s="22"/>
      <c r="W19" s="22"/>
      <c r="X19" s="22"/>
      <c r="Y19" s="22"/>
      <c r="Z19" s="22"/>
    </row>
    <row r="20" customFormat="false" ht="12.75" hidden="false" customHeight="true" outlineLevel="0" collapsed="false">
      <c r="A20" s="22"/>
      <c r="B20" s="22"/>
      <c r="C20" s="22"/>
      <c r="D20" s="22"/>
      <c r="E20" s="22"/>
      <c r="F20" s="22"/>
      <c r="G20" s="22"/>
      <c r="H20" s="22"/>
      <c r="I20" s="22"/>
      <c r="J20" s="22"/>
      <c r="K20" s="22"/>
      <c r="L20" s="22"/>
      <c r="M20" s="22"/>
      <c r="N20" s="22"/>
      <c r="O20" s="22"/>
      <c r="P20" s="22"/>
      <c r="Q20" s="22"/>
      <c r="R20" s="22"/>
      <c r="S20" s="22"/>
      <c r="T20" s="22"/>
      <c r="U20" s="22"/>
      <c r="V20" s="22"/>
      <c r="W20" s="22"/>
      <c r="X20" s="22"/>
      <c r="Y20" s="22"/>
      <c r="Z20" s="22"/>
    </row>
    <row r="21" customFormat="false" ht="12.75" hidden="false" customHeight="true" outlineLevel="0" collapsed="false">
      <c r="A21" s="22"/>
      <c r="B21" s="22"/>
      <c r="C21" s="22"/>
      <c r="D21" s="22"/>
      <c r="E21" s="22"/>
      <c r="F21" s="22"/>
      <c r="G21" s="22"/>
      <c r="H21" s="22"/>
      <c r="I21" s="22"/>
      <c r="J21" s="22"/>
      <c r="K21" s="22"/>
      <c r="L21" s="22"/>
      <c r="M21" s="22"/>
      <c r="N21" s="22"/>
      <c r="O21" s="22"/>
      <c r="P21" s="22"/>
      <c r="Q21" s="22"/>
      <c r="R21" s="22"/>
      <c r="S21" s="22"/>
      <c r="T21" s="22"/>
      <c r="U21" s="22"/>
      <c r="V21" s="22"/>
      <c r="W21" s="22"/>
      <c r="X21" s="22"/>
      <c r="Y21" s="22"/>
      <c r="Z21" s="22"/>
    </row>
    <row r="22" customFormat="false" ht="12.75" hidden="false" customHeight="true" outlineLevel="0" collapsed="false">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row>
    <row r="23" customFormat="false" ht="12.75" hidden="false" customHeight="true" outlineLevel="0" collapsed="false">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row>
    <row r="24" customFormat="false" ht="12.75" hidden="false" customHeight="true" outlineLevel="0" collapsed="false">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row>
    <row r="25" customFormat="false" ht="12.75" hidden="false" customHeight="true" outlineLevel="0" collapsed="false">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row>
    <row r="26" customFormat="false" ht="12.75" hidden="false" customHeight="true" outlineLevel="0" collapsed="false">
      <c r="A26" s="22"/>
      <c r="B26" s="22"/>
      <c r="C26" s="22"/>
      <c r="D26" s="22"/>
      <c r="E26" s="22"/>
      <c r="F26" s="22"/>
      <c r="G26" s="22"/>
      <c r="H26" s="22"/>
      <c r="I26" s="22"/>
      <c r="J26" s="22"/>
      <c r="K26" s="22"/>
      <c r="L26" s="22"/>
      <c r="M26" s="22"/>
      <c r="N26" s="22"/>
      <c r="O26" s="22"/>
      <c r="P26" s="22"/>
      <c r="Q26" s="22"/>
      <c r="R26" s="22"/>
      <c r="S26" s="22"/>
      <c r="T26" s="22"/>
      <c r="U26" s="22"/>
      <c r="V26" s="22"/>
      <c r="W26" s="22"/>
      <c r="X26" s="22"/>
      <c r="Y26" s="22"/>
      <c r="Z26" s="22"/>
    </row>
    <row r="27" customFormat="false" ht="12.75" hidden="false" customHeight="true" outlineLevel="0" collapsed="false">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row>
    <row r="28" customFormat="false" ht="12.75" hidden="false" customHeight="true" outlineLevel="0" collapsed="false">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row>
    <row r="29" customFormat="false" ht="12.75" hidden="false" customHeight="true" outlineLevel="0" collapsed="false">
      <c r="A29" s="22"/>
      <c r="B29" s="22"/>
      <c r="C29" s="22"/>
      <c r="D29" s="22"/>
      <c r="E29" s="22"/>
      <c r="F29" s="22"/>
      <c r="G29" s="22"/>
      <c r="H29" s="22"/>
      <c r="I29" s="22"/>
      <c r="J29" s="22"/>
      <c r="K29" s="22"/>
      <c r="L29" s="22"/>
      <c r="M29" s="22"/>
      <c r="N29" s="22"/>
      <c r="O29" s="22"/>
      <c r="P29" s="22"/>
      <c r="Q29" s="22"/>
      <c r="R29" s="22"/>
      <c r="S29" s="22"/>
      <c r="T29" s="22"/>
      <c r="U29" s="22"/>
      <c r="V29" s="22"/>
      <c r="W29" s="22"/>
      <c r="X29" s="22"/>
      <c r="Y29" s="22"/>
      <c r="Z29" s="22"/>
    </row>
    <row r="30" customFormat="false" ht="12.75" hidden="false" customHeight="true" outlineLevel="0" collapsed="false">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row>
    <row r="31" customFormat="false" ht="12.75" hidden="false" customHeight="true" outlineLevel="0" collapsed="false">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row>
    <row r="32" customFormat="false" ht="12.75" hidden="false" customHeight="true" outlineLevel="0" collapsed="false">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row>
    <row r="33" customFormat="false" ht="12.75" hidden="false" customHeight="true" outlineLevel="0" collapsed="false">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row>
    <row r="34" customFormat="false" ht="12.75" hidden="false" customHeight="true" outlineLevel="0" collapsed="false">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row>
    <row r="35" customFormat="false" ht="12.75" hidden="false" customHeight="true" outlineLevel="0" collapsed="false">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row>
    <row r="36" customFormat="false" ht="12.75" hidden="false" customHeight="true" outlineLevel="0" collapsed="false">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customFormat="false" ht="12.75" hidden="false" customHeight="true" outlineLevel="0" collapsed="false">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row>
    <row r="38" customFormat="false" ht="12.75"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row>
    <row r="39" customFormat="false" ht="12.75" hidden="false" customHeight="true" outlineLevel="0" collapsed="false">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row>
    <row r="40" customFormat="false" ht="12.75" hidden="false" customHeight="true" outlineLevel="0" collapsed="false">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row>
    <row r="41" customFormat="false" ht="12.75" hidden="false" customHeight="true" outlineLevel="0" collapsed="false">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row>
    <row r="42" customFormat="false" ht="12.75" hidden="false" customHeight="true" outlineLevel="0" collapsed="false">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row>
    <row r="43" customFormat="false" ht="12.75" hidden="false" customHeight="true" outlineLevel="0" collapsed="false">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row>
    <row r="44" customFormat="false" ht="12.75" hidden="false" customHeight="true" outlineLevel="0" collapsed="false">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row>
    <row r="45" customFormat="false" ht="12.75" hidden="false" customHeight="true" outlineLevel="0" collapsed="false">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row>
    <row r="46" customFormat="false" ht="12.75" hidden="false" customHeight="true" outlineLevel="0" collapsed="false">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row>
    <row r="47" customFormat="false" ht="12.75" hidden="false" customHeight="true" outlineLevel="0" collapsed="false">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row>
    <row r="48" customFormat="false" ht="12.75" hidden="false" customHeight="true" outlineLevel="0" collapsed="false">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row>
    <row r="49" customFormat="false" ht="12.75" hidden="false" customHeight="true" outlineLevel="0" collapsed="false">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customFormat="false" ht="12.75" hidden="false" customHeight="true" outlineLevel="0" collapsed="false">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row>
    <row r="51" customFormat="false" ht="12.75" hidden="false" customHeight="true" outlineLevel="0" collapsed="false">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row>
    <row r="52" customFormat="false" ht="12.75" hidden="false" customHeight="true" outlineLevel="0" collapsed="false">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row>
    <row r="53" customFormat="false" ht="12.75" hidden="false" customHeight="true" outlineLevel="0" collapsed="false">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row>
    <row r="54" customFormat="false" ht="12.75" hidden="false" customHeight="true" outlineLevel="0" collapsed="false">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row>
    <row r="55" customFormat="false" ht="12.75" hidden="false" customHeight="true" outlineLevel="0" collapsed="false">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row>
    <row r="56" customFormat="false" ht="12.75" hidden="false" customHeight="true" outlineLevel="0" collapsed="false">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row>
    <row r="57" customFormat="false" ht="12.75" hidden="false" customHeight="true" outlineLevel="0" collapsed="false">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customFormat="false" ht="12.75" hidden="false" customHeight="true" outlineLevel="0" collapsed="false">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row>
    <row r="59" customFormat="false" ht="12.75" hidden="false" customHeight="true" outlineLevel="0" collapsed="false">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row>
    <row r="60" customFormat="false" ht="12.75" hidden="false" customHeight="true" outlineLevel="0" collapsed="false">
      <c r="A60" s="22"/>
      <c r="B60" s="22"/>
      <c r="C60" s="22"/>
      <c r="D60" s="22"/>
      <c r="E60" s="22"/>
      <c r="F60" s="22"/>
      <c r="G60" s="22"/>
      <c r="H60" s="22"/>
      <c r="I60" s="22"/>
      <c r="J60" s="22"/>
      <c r="K60" s="22"/>
      <c r="L60" s="22"/>
      <c r="M60" s="22"/>
      <c r="N60" s="22"/>
      <c r="O60" s="22"/>
      <c r="P60" s="22"/>
      <c r="Q60" s="22"/>
      <c r="R60" s="22"/>
      <c r="S60" s="22"/>
      <c r="T60" s="22"/>
      <c r="U60" s="22"/>
      <c r="V60" s="22"/>
      <c r="W60" s="22"/>
      <c r="X60" s="22"/>
      <c r="Y60" s="22"/>
      <c r="Z60" s="22"/>
    </row>
    <row r="61" customFormat="false" ht="12.75" hidden="false" customHeight="true" outlineLevel="0" collapsed="false">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row>
    <row r="62" customFormat="false" ht="12.75" hidden="false" customHeight="true" outlineLevel="0" collapsed="false">
      <c r="A62" s="22"/>
      <c r="B62" s="22"/>
      <c r="C62" s="22"/>
      <c r="D62" s="22"/>
      <c r="E62" s="22"/>
      <c r="F62" s="22"/>
      <c r="G62" s="22"/>
      <c r="H62" s="22"/>
      <c r="I62" s="22"/>
      <c r="J62" s="22"/>
      <c r="K62" s="22"/>
      <c r="L62" s="22"/>
      <c r="M62" s="22"/>
      <c r="N62" s="22"/>
      <c r="O62" s="22"/>
      <c r="P62" s="22"/>
      <c r="Q62" s="22"/>
      <c r="R62" s="22"/>
      <c r="S62" s="22"/>
      <c r="T62" s="22"/>
      <c r="U62" s="22"/>
      <c r="V62" s="22"/>
      <c r="W62" s="22"/>
      <c r="X62" s="22"/>
      <c r="Y62" s="22"/>
      <c r="Z62" s="22"/>
    </row>
    <row r="63" customFormat="false" ht="12.75" hidden="false" customHeight="true" outlineLevel="0" collapsed="false">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row>
    <row r="64" customFormat="false" ht="12.75" hidden="false" customHeight="true" outlineLevel="0" collapsed="false">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row>
    <row r="65" customFormat="false" ht="12.75" hidden="false" customHeight="true" outlineLevel="0" collapsed="false">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row>
    <row r="66" customFormat="false" ht="12.75" hidden="false" customHeight="true" outlineLevel="0" collapsed="false">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row>
    <row r="67" customFormat="false" ht="12.75" hidden="false" customHeight="true" outlineLevel="0" collapsed="false">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row>
    <row r="68" customFormat="false" ht="12.75" hidden="false" customHeight="true" outlineLevel="0" collapsed="false">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row>
    <row r="69" customFormat="false" ht="12.75" hidden="false" customHeight="true" outlineLevel="0" collapsed="false">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row>
    <row r="70" customFormat="false" ht="12.75" hidden="false" customHeight="true" outlineLevel="0" collapsed="false">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row>
    <row r="71" customFormat="false" ht="12.75" hidden="false" customHeight="true" outlineLevel="0" collapsed="false">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row>
    <row r="72" customFormat="false" ht="12.75" hidden="false" customHeight="true" outlineLevel="0" collapsed="false">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row>
    <row r="73" customFormat="false" ht="12.75" hidden="false" customHeight="true" outlineLevel="0" collapsed="false">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row>
    <row r="74" customFormat="false" ht="12.75" hidden="false" customHeight="true" outlineLevel="0" collapsed="false">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row>
    <row r="75" customFormat="false" ht="12.75" hidden="false" customHeight="true" outlineLevel="0" collapsed="false">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row>
    <row r="76" customFormat="false" ht="12.75" hidden="false" customHeight="true" outlineLevel="0" collapsed="false">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row>
    <row r="77" customFormat="false" ht="12.75" hidden="false" customHeight="true" outlineLevel="0" collapsed="false">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row>
    <row r="78" customFormat="false" ht="12.75" hidden="false" customHeight="true" outlineLevel="0" collapsed="false">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row>
    <row r="79" customFormat="false" ht="12.75" hidden="false" customHeight="true" outlineLevel="0" collapsed="false">
      <c r="A79" s="22"/>
      <c r="B79" s="22"/>
      <c r="C79" s="22"/>
      <c r="D79" s="22"/>
      <c r="E79" s="22"/>
      <c r="F79" s="22"/>
      <c r="G79" s="22"/>
      <c r="H79" s="22"/>
      <c r="I79" s="22"/>
      <c r="J79" s="22"/>
      <c r="K79" s="22"/>
      <c r="L79" s="22"/>
      <c r="M79" s="22"/>
      <c r="N79" s="22"/>
      <c r="O79" s="22"/>
      <c r="P79" s="22"/>
      <c r="Q79" s="22"/>
      <c r="R79" s="22"/>
      <c r="S79" s="22"/>
      <c r="T79" s="22"/>
      <c r="U79" s="22"/>
      <c r="V79" s="22"/>
      <c r="W79" s="22"/>
      <c r="X79" s="22"/>
      <c r="Y79" s="22"/>
      <c r="Z79" s="22"/>
    </row>
    <row r="80" customFormat="false" ht="12.75" hidden="false" customHeight="true" outlineLevel="0" collapsed="false">
      <c r="A80" s="22"/>
      <c r="B80" s="22"/>
      <c r="C80" s="22"/>
      <c r="D80" s="22"/>
      <c r="E80" s="22"/>
      <c r="F80" s="22"/>
      <c r="G80" s="22"/>
      <c r="H80" s="22"/>
      <c r="I80" s="22"/>
      <c r="J80" s="22"/>
      <c r="K80" s="22"/>
      <c r="L80" s="22"/>
      <c r="M80" s="22"/>
      <c r="N80" s="22"/>
      <c r="O80" s="22"/>
      <c r="P80" s="22"/>
      <c r="Q80" s="22"/>
      <c r="R80" s="22"/>
      <c r="S80" s="22"/>
      <c r="T80" s="22"/>
      <c r="U80" s="22"/>
      <c r="V80" s="22"/>
      <c r="W80" s="22"/>
      <c r="X80" s="22"/>
      <c r="Y80" s="22"/>
      <c r="Z80" s="22"/>
    </row>
    <row r="81" customFormat="false" ht="12.75" hidden="false" customHeight="true" outlineLevel="0" collapsed="false">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row>
    <row r="82" customFormat="false" ht="12.75" hidden="false" customHeight="true" outlineLevel="0" collapsed="false">
      <c r="A82" s="22"/>
      <c r="B82" s="22"/>
      <c r="C82" s="22"/>
      <c r="D82" s="22"/>
      <c r="E82" s="22"/>
      <c r="F82" s="22"/>
      <c r="G82" s="22"/>
      <c r="H82" s="22"/>
      <c r="I82" s="22"/>
      <c r="J82" s="22"/>
      <c r="K82" s="22"/>
      <c r="L82" s="22"/>
      <c r="M82" s="22"/>
      <c r="N82" s="22"/>
      <c r="O82" s="22"/>
      <c r="P82" s="22"/>
      <c r="Q82" s="22"/>
      <c r="R82" s="22"/>
      <c r="S82" s="22"/>
      <c r="T82" s="22"/>
      <c r="U82" s="22"/>
      <c r="V82" s="22"/>
      <c r="W82" s="22"/>
      <c r="X82" s="22"/>
      <c r="Y82" s="22"/>
      <c r="Z82" s="22"/>
    </row>
    <row r="83" customFormat="false" ht="12.75" hidden="false" customHeight="true" outlineLevel="0" collapsed="false">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row>
    <row r="84" customFormat="false" ht="12.75" hidden="false" customHeight="true" outlineLevel="0" collapsed="false">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row>
    <row r="85" customFormat="false" ht="12.75" hidden="false" customHeight="true" outlineLevel="0" collapsed="false">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row>
    <row r="86" customFormat="false" ht="12.75" hidden="false" customHeight="true" outlineLevel="0" collapsed="false">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row>
    <row r="87" customFormat="false" ht="12.75" hidden="false" customHeight="true" outlineLevel="0" collapsed="false">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row>
    <row r="88" customFormat="false" ht="12.75" hidden="false" customHeight="true" outlineLevel="0" collapsed="false">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row>
    <row r="89" customFormat="false" ht="12.75" hidden="false" customHeight="true" outlineLevel="0" collapsed="false">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row>
    <row r="90" customFormat="false" ht="12.75" hidden="false" customHeight="true" outlineLevel="0" collapsed="false">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row>
    <row r="91" customFormat="false" ht="12.75" hidden="false" customHeight="true" outlineLevel="0" collapsed="false">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row>
    <row r="92" customFormat="false" ht="12.75" hidden="false" customHeight="true" outlineLevel="0" collapsed="false">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row>
    <row r="93" customFormat="false" ht="12.75" hidden="false" customHeight="true" outlineLevel="0" collapsed="false">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row>
    <row r="94" customFormat="false" ht="12.75" hidden="false" customHeight="true" outlineLevel="0" collapsed="false">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row>
    <row r="95" customFormat="false" ht="12.75" hidden="false" customHeight="true" outlineLevel="0" collapsed="false">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row>
    <row r="96" customFormat="false" ht="12.75" hidden="false" customHeight="true" outlineLevel="0" collapsed="false">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row>
    <row r="97" customFormat="false" ht="12.75" hidden="false" customHeight="true" outlineLevel="0" collapsed="false">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row>
    <row r="98" customFormat="false" ht="12.75" hidden="false" customHeight="true" outlineLevel="0" collapsed="false">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row>
    <row r="99" customFormat="false" ht="12.75" hidden="false" customHeight="true" outlineLevel="0" collapsed="false">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row>
    <row r="100" customFormat="false" ht="12.75" hidden="false" customHeight="true" outlineLevel="0" collapsed="false">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28"/>
    <col collapsed="false" customWidth="true" hidden="false" outlineLevel="0" max="3" min="2" style="1" width="36"/>
    <col collapsed="false" customWidth="true" hidden="false" outlineLevel="0" max="12" min="4" style="2" width="10"/>
  </cols>
  <sheetData>
    <row r="1" customFormat="false" ht="12.75" hidden="false" customHeight="true" outlineLevel="0" collapsed="false">
      <c r="A1" s="21" t="s">
        <v>241</v>
      </c>
      <c r="B1" s="21" t="s">
        <v>242</v>
      </c>
      <c r="C1" s="21" t="s">
        <v>979</v>
      </c>
      <c r="D1" s="21"/>
      <c r="E1" s="21"/>
      <c r="F1" s="21"/>
      <c r="G1" s="21"/>
      <c r="H1" s="21"/>
      <c r="I1" s="21"/>
      <c r="J1" s="21"/>
      <c r="K1" s="21"/>
      <c r="L1" s="21"/>
      <c r="M1" s="21"/>
      <c r="N1" s="21"/>
      <c r="O1" s="21"/>
      <c r="P1" s="21"/>
      <c r="Q1" s="21"/>
      <c r="R1" s="21"/>
      <c r="S1" s="21"/>
      <c r="T1" s="21"/>
      <c r="U1" s="21"/>
      <c r="V1" s="21"/>
      <c r="W1" s="21"/>
      <c r="X1" s="21"/>
      <c r="Y1" s="21"/>
      <c r="Z1" s="21"/>
    </row>
    <row r="2" customFormat="false" ht="26.25" hidden="false" customHeight="true" outlineLevel="0" collapsed="false">
      <c r="A2" s="22" t="s">
        <v>2222</v>
      </c>
      <c r="B2" s="22" t="s">
        <v>315</v>
      </c>
      <c r="C2" s="22" t="s">
        <v>3087</v>
      </c>
      <c r="D2" s="22"/>
      <c r="E2" s="22"/>
      <c r="F2" s="22"/>
      <c r="G2" s="22"/>
      <c r="H2" s="22"/>
      <c r="I2" s="22"/>
      <c r="J2" s="22"/>
      <c r="K2" s="22"/>
      <c r="L2" s="22"/>
      <c r="M2" s="22"/>
      <c r="N2" s="22"/>
      <c r="O2" s="22"/>
      <c r="P2" s="22"/>
      <c r="Q2" s="22"/>
      <c r="R2" s="22"/>
      <c r="S2" s="22"/>
      <c r="T2" s="22"/>
      <c r="U2" s="22"/>
      <c r="V2" s="22"/>
      <c r="W2" s="22"/>
      <c r="X2" s="22"/>
      <c r="Y2" s="22"/>
      <c r="Z2" s="22"/>
    </row>
    <row r="3" customFormat="false" ht="26.25" hidden="false" customHeight="true" outlineLevel="0" collapsed="false">
      <c r="A3" s="22" t="s">
        <v>3088</v>
      </c>
      <c r="B3" s="22" t="s">
        <v>3089</v>
      </c>
      <c r="C3" s="22" t="s">
        <v>3090</v>
      </c>
      <c r="D3" s="22"/>
      <c r="E3" s="22"/>
      <c r="F3" s="22"/>
      <c r="G3" s="22"/>
      <c r="H3" s="22"/>
      <c r="I3" s="22"/>
      <c r="J3" s="22"/>
      <c r="K3" s="22"/>
      <c r="L3" s="22"/>
      <c r="M3" s="22"/>
      <c r="N3" s="22"/>
      <c r="O3" s="22"/>
      <c r="P3" s="22"/>
      <c r="Q3" s="22"/>
      <c r="R3" s="22"/>
      <c r="S3" s="22"/>
      <c r="T3" s="22"/>
      <c r="U3" s="22"/>
      <c r="V3" s="22"/>
      <c r="W3" s="22"/>
      <c r="X3" s="22"/>
      <c r="Y3" s="22"/>
      <c r="Z3" s="22"/>
    </row>
    <row r="4" customFormat="false" ht="12.75" hidden="false" customHeight="true" outlineLevel="0" collapsed="false">
      <c r="A4" s="22" t="s">
        <v>3091</v>
      </c>
      <c r="B4" s="22" t="s">
        <v>3089</v>
      </c>
      <c r="C4" s="22" t="s">
        <v>3092</v>
      </c>
      <c r="D4" s="22"/>
      <c r="E4" s="22"/>
      <c r="F4" s="22"/>
      <c r="G4" s="22"/>
      <c r="H4" s="22"/>
      <c r="I4" s="22"/>
      <c r="J4" s="22"/>
      <c r="K4" s="22"/>
      <c r="L4" s="22"/>
      <c r="M4" s="22"/>
      <c r="N4" s="22"/>
      <c r="O4" s="22"/>
      <c r="P4" s="22"/>
      <c r="Q4" s="22"/>
      <c r="R4" s="22"/>
      <c r="S4" s="22"/>
      <c r="T4" s="22"/>
      <c r="U4" s="22"/>
      <c r="V4" s="22"/>
      <c r="W4" s="22"/>
      <c r="X4" s="22"/>
      <c r="Y4" s="22"/>
      <c r="Z4" s="22"/>
    </row>
    <row r="5" customFormat="false" ht="26.25" hidden="false" customHeight="true" outlineLevel="0" collapsed="false">
      <c r="A5" s="22" t="s">
        <v>3093</v>
      </c>
      <c r="B5" s="22" t="s">
        <v>3089</v>
      </c>
      <c r="C5" s="22" t="s">
        <v>3094</v>
      </c>
      <c r="D5" s="22"/>
      <c r="E5" s="22"/>
      <c r="F5" s="22"/>
      <c r="G5" s="22"/>
      <c r="H5" s="22"/>
      <c r="I5" s="22"/>
      <c r="J5" s="22"/>
      <c r="K5" s="22"/>
      <c r="L5" s="22"/>
      <c r="M5" s="22"/>
      <c r="N5" s="22"/>
      <c r="O5" s="22"/>
      <c r="P5" s="22"/>
      <c r="Q5" s="22"/>
      <c r="R5" s="22"/>
      <c r="S5" s="22"/>
      <c r="T5" s="22"/>
      <c r="U5" s="22"/>
      <c r="V5" s="22"/>
      <c r="W5" s="22"/>
      <c r="X5" s="22"/>
      <c r="Y5" s="22"/>
      <c r="Z5" s="22"/>
    </row>
    <row r="6" customFormat="false" ht="26.25" hidden="false" customHeight="true" outlineLevel="0" collapsed="false">
      <c r="A6" s="22" t="s">
        <v>3084</v>
      </c>
      <c r="B6" s="22" t="s">
        <v>3095</v>
      </c>
      <c r="C6" s="22" t="s">
        <v>3096</v>
      </c>
      <c r="D6" s="22"/>
      <c r="E6" s="22"/>
      <c r="F6" s="22"/>
      <c r="G6" s="22"/>
      <c r="H6" s="22"/>
      <c r="I6" s="22"/>
      <c r="J6" s="22"/>
      <c r="K6" s="22"/>
      <c r="L6" s="22"/>
      <c r="M6" s="22"/>
      <c r="N6" s="22"/>
      <c r="O6" s="22"/>
      <c r="P6" s="22"/>
      <c r="Q6" s="22"/>
      <c r="R6" s="22"/>
      <c r="S6" s="22"/>
      <c r="T6" s="22"/>
      <c r="U6" s="22"/>
      <c r="V6" s="22"/>
      <c r="W6" s="22"/>
      <c r="X6" s="22"/>
      <c r="Y6" s="22"/>
      <c r="Z6" s="22"/>
    </row>
    <row r="7" customFormat="false" ht="12.75" hidden="false" customHeight="true" outlineLevel="0" collapsed="false">
      <c r="A7" s="22"/>
      <c r="B7" s="22"/>
      <c r="C7" s="22"/>
      <c r="D7" s="22"/>
      <c r="E7" s="22"/>
      <c r="F7" s="22"/>
      <c r="G7" s="22"/>
      <c r="H7" s="22"/>
      <c r="I7" s="22"/>
      <c r="J7" s="22"/>
      <c r="K7" s="22"/>
      <c r="L7" s="22"/>
      <c r="M7" s="22"/>
      <c r="N7" s="22"/>
      <c r="O7" s="22"/>
      <c r="P7" s="22"/>
      <c r="Q7" s="22"/>
      <c r="R7" s="22"/>
      <c r="S7" s="22"/>
      <c r="T7" s="22"/>
      <c r="U7" s="22"/>
      <c r="V7" s="22"/>
      <c r="W7" s="22"/>
      <c r="X7" s="22"/>
      <c r="Y7" s="22"/>
      <c r="Z7" s="22"/>
    </row>
    <row r="8" customFormat="false" ht="12.75" hidden="false" customHeight="true" outlineLevel="0" collapsed="false">
      <c r="A8" s="22"/>
      <c r="B8" s="22"/>
      <c r="C8" s="22"/>
      <c r="D8" s="22"/>
      <c r="E8" s="22"/>
      <c r="F8" s="22"/>
      <c r="G8" s="22"/>
      <c r="H8" s="22"/>
      <c r="I8" s="22"/>
      <c r="J8" s="22"/>
      <c r="K8" s="22"/>
      <c r="L8" s="22"/>
      <c r="M8" s="22"/>
      <c r="N8" s="22"/>
      <c r="O8" s="22"/>
      <c r="P8" s="22"/>
      <c r="Q8" s="22"/>
      <c r="R8" s="22"/>
      <c r="S8" s="22"/>
      <c r="T8" s="22"/>
      <c r="U8" s="22"/>
      <c r="V8" s="22"/>
      <c r="W8" s="22"/>
      <c r="X8" s="22"/>
      <c r="Y8" s="22"/>
      <c r="Z8" s="22"/>
    </row>
    <row r="9" customFormat="false" ht="12.75" hidden="false" customHeight="true" outlineLevel="0" collapsed="false">
      <c r="A9" s="22"/>
      <c r="B9" s="22"/>
      <c r="C9" s="22"/>
      <c r="D9" s="22"/>
      <c r="E9" s="22"/>
      <c r="F9" s="22"/>
      <c r="G9" s="22"/>
      <c r="H9" s="22"/>
      <c r="I9" s="22"/>
      <c r="J9" s="22"/>
      <c r="K9" s="22"/>
      <c r="L9" s="22"/>
      <c r="M9" s="22"/>
      <c r="N9" s="22"/>
      <c r="O9" s="22"/>
      <c r="P9" s="22"/>
      <c r="Q9" s="22"/>
      <c r="R9" s="22"/>
      <c r="S9" s="22"/>
      <c r="T9" s="22"/>
      <c r="U9" s="22"/>
      <c r="V9" s="22"/>
      <c r="W9" s="22"/>
      <c r="X9" s="22"/>
      <c r="Y9" s="22"/>
      <c r="Z9" s="22"/>
    </row>
    <row r="10" customFormat="false" ht="12.75" hidden="false" customHeight="true" outlineLevel="0" collapsed="false">
      <c r="A10" s="22"/>
      <c r="B10" s="22"/>
      <c r="C10" s="22"/>
      <c r="D10" s="22"/>
      <c r="E10" s="22"/>
      <c r="F10" s="22"/>
      <c r="G10" s="22"/>
      <c r="H10" s="22"/>
      <c r="I10" s="22"/>
      <c r="J10" s="22"/>
      <c r="K10" s="22"/>
      <c r="L10" s="22"/>
      <c r="M10" s="22"/>
      <c r="N10" s="22"/>
      <c r="O10" s="22"/>
      <c r="P10" s="22"/>
      <c r="Q10" s="22"/>
      <c r="R10" s="22"/>
      <c r="S10" s="22"/>
      <c r="T10" s="22"/>
      <c r="U10" s="22"/>
      <c r="V10" s="22"/>
      <c r="W10" s="22"/>
      <c r="X10" s="22"/>
      <c r="Y10" s="22"/>
      <c r="Z10" s="22"/>
    </row>
    <row r="11" customFormat="false" ht="12.75" hidden="false" customHeight="true" outlineLevel="0" collapsed="false">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row>
    <row r="12" customFormat="false" ht="12.75" hidden="false" customHeight="true" outlineLevel="0" collapsed="false">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row>
    <row r="13" customFormat="false" ht="12.75" hidden="false" customHeight="true" outlineLevel="0" collapsed="false">
      <c r="A13" s="22"/>
      <c r="B13" s="22"/>
      <c r="C13" s="22"/>
      <c r="D13" s="22"/>
      <c r="E13" s="22"/>
      <c r="F13" s="22"/>
      <c r="G13" s="22"/>
      <c r="H13" s="22"/>
      <c r="I13" s="22"/>
      <c r="J13" s="22"/>
      <c r="K13" s="22"/>
      <c r="L13" s="22"/>
      <c r="M13" s="22"/>
      <c r="N13" s="22"/>
      <c r="O13" s="22"/>
      <c r="P13" s="22"/>
      <c r="Q13" s="22"/>
      <c r="R13" s="22"/>
      <c r="S13" s="22"/>
      <c r="T13" s="22"/>
      <c r="U13" s="22"/>
      <c r="V13" s="22"/>
      <c r="W13" s="22"/>
      <c r="X13" s="22"/>
      <c r="Y13" s="22"/>
      <c r="Z13" s="22"/>
    </row>
    <row r="14" customFormat="false" ht="12.75" hidden="false" customHeight="true" outlineLevel="0" collapsed="false">
      <c r="A14" s="22"/>
      <c r="B14" s="22"/>
      <c r="C14" s="22"/>
      <c r="D14" s="22"/>
      <c r="E14" s="22"/>
      <c r="F14" s="22"/>
      <c r="G14" s="22"/>
      <c r="H14" s="22"/>
      <c r="I14" s="22"/>
      <c r="J14" s="22"/>
      <c r="K14" s="22"/>
      <c r="L14" s="22"/>
      <c r="M14" s="22"/>
      <c r="N14" s="22"/>
      <c r="O14" s="22"/>
      <c r="P14" s="22"/>
      <c r="Q14" s="22"/>
      <c r="R14" s="22"/>
      <c r="S14" s="22"/>
      <c r="T14" s="22"/>
      <c r="U14" s="22"/>
      <c r="V14" s="22"/>
      <c r="W14" s="22"/>
      <c r="X14" s="22"/>
      <c r="Y14" s="22"/>
      <c r="Z14" s="22"/>
    </row>
    <row r="15" customFormat="false" ht="12.75" hidden="false" customHeight="true" outlineLevel="0" collapsed="false">
      <c r="A15" s="22"/>
      <c r="B15" s="22"/>
      <c r="C15" s="22"/>
      <c r="D15" s="22"/>
      <c r="E15" s="22"/>
      <c r="F15" s="22"/>
      <c r="G15" s="22"/>
      <c r="H15" s="22"/>
      <c r="I15" s="22"/>
      <c r="J15" s="22"/>
      <c r="K15" s="22"/>
      <c r="L15" s="22"/>
      <c r="M15" s="22"/>
      <c r="N15" s="22"/>
      <c r="O15" s="22"/>
      <c r="P15" s="22"/>
      <c r="Q15" s="22"/>
      <c r="R15" s="22"/>
      <c r="S15" s="22"/>
      <c r="T15" s="22"/>
      <c r="U15" s="22"/>
      <c r="V15" s="22"/>
      <c r="W15" s="22"/>
      <c r="X15" s="22"/>
      <c r="Y15" s="22"/>
      <c r="Z15" s="22"/>
    </row>
    <row r="16" customFormat="false" ht="12.75" hidden="false" customHeight="true" outlineLevel="0" collapsed="false">
      <c r="A16" s="22"/>
      <c r="B16" s="22"/>
      <c r="C16" s="22"/>
      <c r="D16" s="22"/>
      <c r="E16" s="22"/>
      <c r="F16" s="22"/>
      <c r="G16" s="22"/>
      <c r="H16" s="22"/>
      <c r="I16" s="22"/>
      <c r="J16" s="22"/>
      <c r="K16" s="22"/>
      <c r="L16" s="22"/>
      <c r="M16" s="22"/>
      <c r="N16" s="22"/>
      <c r="O16" s="22"/>
      <c r="P16" s="22"/>
      <c r="Q16" s="22"/>
      <c r="R16" s="22"/>
      <c r="S16" s="22"/>
      <c r="T16" s="22"/>
      <c r="U16" s="22"/>
      <c r="V16" s="22"/>
      <c r="W16" s="22"/>
      <c r="X16" s="22"/>
      <c r="Y16" s="22"/>
      <c r="Z16" s="22"/>
    </row>
    <row r="17" customFormat="false" ht="12.75" hidden="false" customHeight="true" outlineLevel="0" collapsed="false">
      <c r="A17" s="22"/>
      <c r="B17" s="22"/>
      <c r="C17" s="22"/>
      <c r="D17" s="22"/>
      <c r="E17" s="22"/>
      <c r="F17" s="22"/>
      <c r="G17" s="22"/>
      <c r="H17" s="22"/>
      <c r="I17" s="22"/>
      <c r="J17" s="22"/>
      <c r="K17" s="22"/>
      <c r="L17" s="22"/>
      <c r="M17" s="22"/>
      <c r="N17" s="22"/>
      <c r="O17" s="22"/>
      <c r="P17" s="22"/>
      <c r="Q17" s="22"/>
      <c r="R17" s="22"/>
      <c r="S17" s="22"/>
      <c r="T17" s="22"/>
      <c r="U17" s="22"/>
      <c r="V17" s="22"/>
      <c r="W17" s="22"/>
      <c r="X17" s="22"/>
      <c r="Y17" s="22"/>
      <c r="Z17" s="22"/>
    </row>
    <row r="18" customFormat="false" ht="12.75" hidden="false" customHeight="true" outlineLevel="0" collapsed="false">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row>
    <row r="19" customFormat="false" ht="12.75" hidden="false" customHeight="true" outlineLevel="0" collapsed="false">
      <c r="A19" s="22"/>
      <c r="B19" s="22"/>
      <c r="C19" s="22"/>
      <c r="D19" s="22"/>
      <c r="E19" s="22"/>
      <c r="F19" s="22"/>
      <c r="G19" s="22"/>
      <c r="H19" s="22"/>
      <c r="I19" s="22"/>
      <c r="J19" s="22"/>
      <c r="K19" s="22"/>
      <c r="L19" s="22"/>
      <c r="M19" s="22"/>
      <c r="N19" s="22"/>
      <c r="O19" s="22"/>
      <c r="P19" s="22"/>
      <c r="Q19" s="22"/>
      <c r="R19" s="22"/>
      <c r="S19" s="22"/>
      <c r="T19" s="22"/>
      <c r="U19" s="22"/>
      <c r="V19" s="22"/>
      <c r="W19" s="22"/>
      <c r="X19" s="22"/>
      <c r="Y19" s="22"/>
      <c r="Z19" s="22"/>
    </row>
    <row r="20" customFormat="false" ht="12.75" hidden="false" customHeight="true" outlineLevel="0" collapsed="false">
      <c r="A20" s="22"/>
      <c r="B20" s="22"/>
      <c r="C20" s="22"/>
      <c r="D20" s="22"/>
      <c r="E20" s="22"/>
      <c r="F20" s="22"/>
      <c r="G20" s="22"/>
      <c r="H20" s="22"/>
      <c r="I20" s="22"/>
      <c r="J20" s="22"/>
      <c r="K20" s="22"/>
      <c r="L20" s="22"/>
      <c r="M20" s="22"/>
      <c r="N20" s="22"/>
      <c r="O20" s="22"/>
      <c r="P20" s="22"/>
      <c r="Q20" s="22"/>
      <c r="R20" s="22"/>
      <c r="S20" s="22"/>
      <c r="T20" s="22"/>
      <c r="U20" s="22"/>
      <c r="V20" s="22"/>
      <c r="W20" s="22"/>
      <c r="X20" s="22"/>
      <c r="Y20" s="22"/>
      <c r="Z20" s="22"/>
    </row>
    <row r="21" customFormat="false" ht="12.75" hidden="false" customHeight="true" outlineLevel="0" collapsed="false">
      <c r="A21" s="22"/>
      <c r="B21" s="22"/>
      <c r="C21" s="22"/>
      <c r="D21" s="22"/>
      <c r="E21" s="22"/>
      <c r="F21" s="22"/>
      <c r="G21" s="22"/>
      <c r="H21" s="22"/>
      <c r="I21" s="22"/>
      <c r="J21" s="22"/>
      <c r="K21" s="22"/>
      <c r="L21" s="22"/>
      <c r="M21" s="22"/>
      <c r="N21" s="22"/>
      <c r="O21" s="22"/>
      <c r="P21" s="22"/>
      <c r="Q21" s="22"/>
      <c r="R21" s="22"/>
      <c r="S21" s="22"/>
      <c r="T21" s="22"/>
      <c r="U21" s="22"/>
      <c r="V21" s="22"/>
      <c r="W21" s="22"/>
      <c r="X21" s="22"/>
      <c r="Y21" s="22"/>
      <c r="Z21" s="22"/>
    </row>
    <row r="22" customFormat="false" ht="12.75" hidden="false" customHeight="true" outlineLevel="0" collapsed="false">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row>
    <row r="23" customFormat="false" ht="12.75" hidden="false" customHeight="true" outlineLevel="0" collapsed="false">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row>
    <row r="24" customFormat="false" ht="12.75" hidden="false" customHeight="true" outlineLevel="0" collapsed="false">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row>
    <row r="25" customFormat="false" ht="12.75" hidden="false" customHeight="true" outlineLevel="0" collapsed="false">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row>
    <row r="26" customFormat="false" ht="12.75" hidden="false" customHeight="true" outlineLevel="0" collapsed="false">
      <c r="A26" s="22"/>
      <c r="B26" s="22"/>
      <c r="C26" s="22"/>
      <c r="D26" s="22"/>
      <c r="E26" s="22"/>
      <c r="F26" s="22"/>
      <c r="G26" s="22"/>
      <c r="H26" s="22"/>
      <c r="I26" s="22"/>
      <c r="J26" s="22"/>
      <c r="K26" s="22"/>
      <c r="L26" s="22"/>
      <c r="M26" s="22"/>
      <c r="N26" s="22"/>
      <c r="O26" s="22"/>
      <c r="P26" s="22"/>
      <c r="Q26" s="22"/>
      <c r="R26" s="22"/>
      <c r="S26" s="22"/>
      <c r="T26" s="22"/>
      <c r="U26" s="22"/>
      <c r="V26" s="22"/>
      <c r="W26" s="22"/>
      <c r="X26" s="22"/>
      <c r="Y26" s="22"/>
      <c r="Z26" s="22"/>
    </row>
    <row r="27" customFormat="false" ht="12.75" hidden="false" customHeight="true" outlineLevel="0" collapsed="false">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row>
    <row r="28" customFormat="false" ht="12.75" hidden="false" customHeight="true" outlineLevel="0" collapsed="false">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row>
    <row r="29" customFormat="false" ht="12.75" hidden="false" customHeight="true" outlineLevel="0" collapsed="false">
      <c r="A29" s="22"/>
      <c r="B29" s="22"/>
      <c r="C29" s="22"/>
      <c r="D29" s="22"/>
      <c r="E29" s="22"/>
      <c r="F29" s="22"/>
      <c r="G29" s="22"/>
      <c r="H29" s="22"/>
      <c r="I29" s="22"/>
      <c r="J29" s="22"/>
      <c r="K29" s="22"/>
      <c r="L29" s="22"/>
      <c r="M29" s="22"/>
      <c r="N29" s="22"/>
      <c r="O29" s="22"/>
      <c r="P29" s="22"/>
      <c r="Q29" s="22"/>
      <c r="R29" s="22"/>
      <c r="S29" s="22"/>
      <c r="T29" s="22"/>
      <c r="U29" s="22"/>
      <c r="V29" s="22"/>
      <c r="W29" s="22"/>
      <c r="X29" s="22"/>
      <c r="Y29" s="22"/>
      <c r="Z29" s="22"/>
    </row>
    <row r="30" customFormat="false" ht="12.75" hidden="false" customHeight="true" outlineLevel="0" collapsed="false">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row>
    <row r="31" customFormat="false" ht="12.75" hidden="false" customHeight="true" outlineLevel="0" collapsed="false">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row>
    <row r="32" customFormat="false" ht="12.75" hidden="false" customHeight="true" outlineLevel="0" collapsed="false">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row>
    <row r="33" customFormat="false" ht="12.75" hidden="false" customHeight="true" outlineLevel="0" collapsed="false">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row>
    <row r="34" customFormat="false" ht="12.75" hidden="false" customHeight="true" outlineLevel="0" collapsed="false">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row>
    <row r="35" customFormat="false" ht="12.75" hidden="false" customHeight="true" outlineLevel="0" collapsed="false">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row>
    <row r="36" customFormat="false" ht="12.75" hidden="false" customHeight="true" outlineLevel="0" collapsed="false">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customFormat="false" ht="12.75" hidden="false" customHeight="true" outlineLevel="0" collapsed="false">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row>
    <row r="38" customFormat="false" ht="12.75"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row>
    <row r="39" customFormat="false" ht="12.75" hidden="false" customHeight="true" outlineLevel="0" collapsed="false">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row>
    <row r="40" customFormat="false" ht="12.75" hidden="false" customHeight="true" outlineLevel="0" collapsed="false">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row>
    <row r="41" customFormat="false" ht="12.75" hidden="false" customHeight="true" outlineLevel="0" collapsed="false">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row>
    <row r="42" customFormat="false" ht="12.75" hidden="false" customHeight="true" outlineLevel="0" collapsed="false">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row>
    <row r="43" customFormat="false" ht="12.75" hidden="false" customHeight="true" outlineLevel="0" collapsed="false">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row>
    <row r="44" customFormat="false" ht="12.75" hidden="false" customHeight="true" outlineLevel="0" collapsed="false">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row>
    <row r="45" customFormat="false" ht="12.75" hidden="false" customHeight="true" outlineLevel="0" collapsed="false">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row>
    <row r="46" customFormat="false" ht="12.75" hidden="false" customHeight="true" outlineLevel="0" collapsed="false">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row>
    <row r="47" customFormat="false" ht="12.75" hidden="false" customHeight="true" outlineLevel="0" collapsed="false">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row>
    <row r="48" customFormat="false" ht="12.75" hidden="false" customHeight="true" outlineLevel="0" collapsed="false">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row>
    <row r="49" customFormat="false" ht="12.75" hidden="false" customHeight="true" outlineLevel="0" collapsed="false">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customFormat="false" ht="12.75" hidden="false" customHeight="true" outlineLevel="0" collapsed="false">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row>
    <row r="51" customFormat="false" ht="12.75" hidden="false" customHeight="true" outlineLevel="0" collapsed="false">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row>
    <row r="52" customFormat="false" ht="12.75" hidden="false" customHeight="true" outlineLevel="0" collapsed="false">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row>
    <row r="53" customFormat="false" ht="12.75" hidden="false" customHeight="true" outlineLevel="0" collapsed="false">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row>
    <row r="54" customFormat="false" ht="12.75" hidden="false" customHeight="true" outlineLevel="0" collapsed="false">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row>
    <row r="55" customFormat="false" ht="12.75" hidden="false" customHeight="true" outlineLevel="0" collapsed="false">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row>
    <row r="56" customFormat="false" ht="12.75" hidden="false" customHeight="true" outlineLevel="0" collapsed="false">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row>
    <row r="57" customFormat="false" ht="12.75" hidden="false" customHeight="true" outlineLevel="0" collapsed="false">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customFormat="false" ht="12.75" hidden="false" customHeight="true" outlineLevel="0" collapsed="false">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row>
    <row r="59" customFormat="false" ht="12.75" hidden="false" customHeight="true" outlineLevel="0" collapsed="false">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row>
    <row r="60" customFormat="false" ht="12.75" hidden="false" customHeight="true" outlineLevel="0" collapsed="false">
      <c r="A60" s="22"/>
      <c r="B60" s="22"/>
      <c r="C60" s="22"/>
      <c r="D60" s="22"/>
      <c r="E60" s="22"/>
      <c r="F60" s="22"/>
      <c r="G60" s="22"/>
      <c r="H60" s="22"/>
      <c r="I60" s="22"/>
      <c r="J60" s="22"/>
      <c r="K60" s="22"/>
      <c r="L60" s="22"/>
      <c r="M60" s="22"/>
      <c r="N60" s="22"/>
      <c r="O60" s="22"/>
      <c r="P60" s="22"/>
      <c r="Q60" s="22"/>
      <c r="R60" s="22"/>
      <c r="S60" s="22"/>
      <c r="T60" s="22"/>
      <c r="U60" s="22"/>
      <c r="V60" s="22"/>
      <c r="W60" s="22"/>
      <c r="X60" s="22"/>
      <c r="Y60" s="22"/>
      <c r="Z60" s="22"/>
    </row>
    <row r="61" customFormat="false" ht="12.75" hidden="false" customHeight="true" outlineLevel="0" collapsed="false">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row>
    <row r="62" customFormat="false" ht="12.75" hidden="false" customHeight="true" outlineLevel="0" collapsed="false">
      <c r="A62" s="22"/>
      <c r="B62" s="22"/>
      <c r="C62" s="22"/>
      <c r="D62" s="22"/>
      <c r="E62" s="22"/>
      <c r="F62" s="22"/>
      <c r="G62" s="22"/>
      <c r="H62" s="22"/>
      <c r="I62" s="22"/>
      <c r="J62" s="22"/>
      <c r="K62" s="22"/>
      <c r="L62" s="22"/>
      <c r="M62" s="22"/>
      <c r="N62" s="22"/>
      <c r="O62" s="22"/>
      <c r="P62" s="22"/>
      <c r="Q62" s="22"/>
      <c r="R62" s="22"/>
      <c r="S62" s="22"/>
      <c r="T62" s="22"/>
      <c r="U62" s="22"/>
      <c r="V62" s="22"/>
      <c r="W62" s="22"/>
      <c r="X62" s="22"/>
      <c r="Y62" s="22"/>
      <c r="Z62" s="22"/>
    </row>
    <row r="63" customFormat="false" ht="12.75" hidden="false" customHeight="true" outlineLevel="0" collapsed="false">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row>
    <row r="64" customFormat="false" ht="12.75" hidden="false" customHeight="true" outlineLevel="0" collapsed="false">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row>
    <row r="65" customFormat="false" ht="12.75" hidden="false" customHeight="true" outlineLevel="0" collapsed="false">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row>
    <row r="66" customFormat="false" ht="12.75" hidden="false" customHeight="true" outlineLevel="0" collapsed="false">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row>
    <row r="67" customFormat="false" ht="12.75" hidden="false" customHeight="true" outlineLevel="0" collapsed="false">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row>
    <row r="68" customFormat="false" ht="12.75" hidden="false" customHeight="true" outlineLevel="0" collapsed="false">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row>
    <row r="69" customFormat="false" ht="12.75" hidden="false" customHeight="true" outlineLevel="0" collapsed="false">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row>
    <row r="70" customFormat="false" ht="12.75" hidden="false" customHeight="true" outlineLevel="0" collapsed="false">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row>
    <row r="71" customFormat="false" ht="12.75" hidden="false" customHeight="true" outlineLevel="0" collapsed="false">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row>
    <row r="72" customFormat="false" ht="12.75" hidden="false" customHeight="true" outlineLevel="0" collapsed="false">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row>
    <row r="73" customFormat="false" ht="12.75" hidden="false" customHeight="true" outlineLevel="0" collapsed="false">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row>
    <row r="74" customFormat="false" ht="12.75" hidden="false" customHeight="true" outlineLevel="0" collapsed="false">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row>
    <row r="75" customFormat="false" ht="12.75" hidden="false" customHeight="true" outlineLevel="0" collapsed="false">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row>
    <row r="76" customFormat="false" ht="12.75" hidden="false" customHeight="true" outlineLevel="0" collapsed="false">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row>
    <row r="77" customFormat="false" ht="12.75" hidden="false" customHeight="true" outlineLevel="0" collapsed="false">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row>
    <row r="78" customFormat="false" ht="12.75" hidden="false" customHeight="true" outlineLevel="0" collapsed="false">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row>
    <row r="79" customFormat="false" ht="12.75" hidden="false" customHeight="true" outlineLevel="0" collapsed="false">
      <c r="A79" s="22"/>
      <c r="B79" s="22"/>
      <c r="C79" s="22"/>
      <c r="D79" s="22"/>
      <c r="E79" s="22"/>
      <c r="F79" s="22"/>
      <c r="G79" s="22"/>
      <c r="H79" s="22"/>
      <c r="I79" s="22"/>
      <c r="J79" s="22"/>
      <c r="K79" s="22"/>
      <c r="L79" s="22"/>
      <c r="M79" s="22"/>
      <c r="N79" s="22"/>
      <c r="O79" s="22"/>
      <c r="P79" s="22"/>
      <c r="Q79" s="22"/>
      <c r="R79" s="22"/>
      <c r="S79" s="22"/>
      <c r="T79" s="22"/>
      <c r="U79" s="22"/>
      <c r="V79" s="22"/>
      <c r="W79" s="22"/>
      <c r="X79" s="22"/>
      <c r="Y79" s="22"/>
      <c r="Z79" s="22"/>
    </row>
    <row r="80" customFormat="false" ht="12.75" hidden="false" customHeight="true" outlineLevel="0" collapsed="false">
      <c r="A80" s="22"/>
      <c r="B80" s="22"/>
      <c r="C80" s="22"/>
      <c r="D80" s="22"/>
      <c r="E80" s="22"/>
      <c r="F80" s="22"/>
      <c r="G80" s="22"/>
      <c r="H80" s="22"/>
      <c r="I80" s="22"/>
      <c r="J80" s="22"/>
      <c r="K80" s="22"/>
      <c r="L80" s="22"/>
      <c r="M80" s="22"/>
      <c r="N80" s="22"/>
      <c r="O80" s="22"/>
      <c r="P80" s="22"/>
      <c r="Q80" s="22"/>
      <c r="R80" s="22"/>
      <c r="S80" s="22"/>
      <c r="T80" s="22"/>
      <c r="U80" s="22"/>
      <c r="V80" s="22"/>
      <c r="W80" s="22"/>
      <c r="X80" s="22"/>
      <c r="Y80" s="22"/>
      <c r="Z80" s="22"/>
    </row>
    <row r="81" customFormat="false" ht="12.75" hidden="false" customHeight="true" outlineLevel="0" collapsed="false">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row>
    <row r="82" customFormat="false" ht="12.75" hidden="false" customHeight="true" outlineLevel="0" collapsed="false">
      <c r="A82" s="22"/>
      <c r="B82" s="22"/>
      <c r="C82" s="22"/>
      <c r="D82" s="22"/>
      <c r="E82" s="22"/>
      <c r="F82" s="22"/>
      <c r="G82" s="22"/>
      <c r="H82" s="22"/>
      <c r="I82" s="22"/>
      <c r="J82" s="22"/>
      <c r="K82" s="22"/>
      <c r="L82" s="22"/>
      <c r="M82" s="22"/>
      <c r="N82" s="22"/>
      <c r="O82" s="22"/>
      <c r="P82" s="22"/>
      <c r="Q82" s="22"/>
      <c r="R82" s="22"/>
      <c r="S82" s="22"/>
      <c r="T82" s="22"/>
      <c r="U82" s="22"/>
      <c r="V82" s="22"/>
      <c r="W82" s="22"/>
      <c r="X82" s="22"/>
      <c r="Y82" s="22"/>
      <c r="Z82" s="22"/>
    </row>
    <row r="83" customFormat="false" ht="12.75" hidden="false" customHeight="true" outlineLevel="0" collapsed="false">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row>
    <row r="84" customFormat="false" ht="12.75" hidden="false" customHeight="true" outlineLevel="0" collapsed="false">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row>
    <row r="85" customFormat="false" ht="12.75" hidden="false" customHeight="true" outlineLevel="0" collapsed="false">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row>
    <row r="86" customFormat="false" ht="12.75" hidden="false" customHeight="true" outlineLevel="0" collapsed="false">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row>
    <row r="87" customFormat="false" ht="12.75" hidden="false" customHeight="true" outlineLevel="0" collapsed="false">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row>
    <row r="88" customFormat="false" ht="12.75" hidden="false" customHeight="true" outlineLevel="0" collapsed="false">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row>
    <row r="89" customFormat="false" ht="12.75" hidden="false" customHeight="true" outlineLevel="0" collapsed="false">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row>
    <row r="90" customFormat="false" ht="12.75" hidden="false" customHeight="true" outlineLevel="0" collapsed="false">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row>
    <row r="91" customFormat="false" ht="12.75" hidden="false" customHeight="true" outlineLevel="0" collapsed="false">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row>
    <row r="92" customFormat="false" ht="12.75" hidden="false" customHeight="true" outlineLevel="0" collapsed="false">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row>
    <row r="93" customFormat="false" ht="12.75" hidden="false" customHeight="true" outlineLevel="0" collapsed="false">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row>
    <row r="94" customFormat="false" ht="12.75" hidden="false" customHeight="true" outlineLevel="0" collapsed="false">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row>
    <row r="95" customFormat="false" ht="12.75" hidden="false" customHeight="true" outlineLevel="0" collapsed="false">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row>
    <row r="96" customFormat="false" ht="12.75" hidden="false" customHeight="true" outlineLevel="0" collapsed="false">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row>
    <row r="97" customFormat="false" ht="12.75" hidden="false" customHeight="true" outlineLevel="0" collapsed="false">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row>
    <row r="98" customFormat="false" ht="12.75" hidden="false" customHeight="true" outlineLevel="0" collapsed="false">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row>
    <row r="99" customFormat="false" ht="12.75" hidden="false" customHeight="true" outlineLevel="0" collapsed="false">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row>
    <row r="100" customFormat="false" ht="12.75" hidden="false" customHeight="true" outlineLevel="0" collapsed="false">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33"/>
    <col collapsed="false" customWidth="true" hidden="false" outlineLevel="0" max="3" min="2" style="1" width="36"/>
    <col collapsed="false" customWidth="true" hidden="false" outlineLevel="0" max="12" min="4" style="2" width="10"/>
  </cols>
  <sheetData>
    <row r="1" customFormat="false" ht="12.75" hidden="false" customHeight="true" outlineLevel="0" collapsed="false">
      <c r="A1" s="21" t="s">
        <v>241</v>
      </c>
      <c r="B1" s="21" t="s">
        <v>242</v>
      </c>
      <c r="C1" s="21" t="s">
        <v>979</v>
      </c>
      <c r="D1" s="21"/>
      <c r="E1" s="21"/>
      <c r="F1" s="21"/>
      <c r="G1" s="21"/>
      <c r="H1" s="21"/>
      <c r="I1" s="21"/>
      <c r="J1" s="21"/>
      <c r="K1" s="21"/>
      <c r="L1" s="21"/>
      <c r="M1" s="21"/>
      <c r="N1" s="21"/>
      <c r="O1" s="21"/>
      <c r="P1" s="21"/>
      <c r="Q1" s="21"/>
      <c r="R1" s="21"/>
      <c r="S1" s="21"/>
      <c r="T1" s="21"/>
      <c r="U1" s="21"/>
      <c r="V1" s="21"/>
      <c r="W1" s="21"/>
      <c r="X1" s="21"/>
      <c r="Y1" s="21"/>
      <c r="Z1" s="21"/>
    </row>
    <row r="2" customFormat="false" ht="26.25" hidden="false" customHeight="true" outlineLevel="0" collapsed="false">
      <c r="A2" s="22" t="s">
        <v>3097</v>
      </c>
      <c r="B2" s="22" t="s">
        <v>3098</v>
      </c>
      <c r="C2" s="22" t="s">
        <v>3099</v>
      </c>
      <c r="D2" s="22"/>
      <c r="E2" s="22"/>
      <c r="F2" s="22"/>
      <c r="G2" s="22"/>
      <c r="H2" s="22"/>
      <c r="I2" s="22"/>
      <c r="J2" s="22"/>
      <c r="K2" s="22"/>
      <c r="L2" s="22"/>
      <c r="M2" s="22"/>
      <c r="N2" s="22"/>
      <c r="O2" s="22"/>
      <c r="P2" s="22"/>
      <c r="Q2" s="22"/>
      <c r="R2" s="22"/>
      <c r="S2" s="22"/>
      <c r="T2" s="22"/>
      <c r="U2" s="22"/>
      <c r="V2" s="22"/>
      <c r="W2" s="22"/>
      <c r="X2" s="22"/>
      <c r="Y2" s="22"/>
      <c r="Z2" s="22"/>
    </row>
    <row r="3" customFormat="false" ht="12.75" hidden="false" customHeight="true" outlineLevel="0" collapsed="false">
      <c r="A3" s="22" t="s">
        <v>3100</v>
      </c>
      <c r="B3" s="22" t="s">
        <v>3101</v>
      </c>
      <c r="C3" s="22" t="s">
        <v>3102</v>
      </c>
      <c r="D3" s="22"/>
      <c r="E3" s="22"/>
      <c r="F3" s="22"/>
      <c r="G3" s="22"/>
      <c r="H3" s="22"/>
      <c r="I3" s="22"/>
      <c r="J3" s="22"/>
      <c r="K3" s="22"/>
      <c r="L3" s="22"/>
      <c r="M3" s="22"/>
      <c r="N3" s="22"/>
      <c r="O3" s="22"/>
      <c r="P3" s="22"/>
      <c r="Q3" s="22"/>
      <c r="R3" s="22"/>
      <c r="S3" s="22"/>
      <c r="T3" s="22"/>
      <c r="U3" s="22"/>
      <c r="V3" s="22"/>
      <c r="W3" s="22"/>
      <c r="X3" s="22"/>
      <c r="Y3" s="22"/>
      <c r="Z3" s="22"/>
    </row>
    <row r="4" customFormat="false" ht="26.25" hidden="false" customHeight="true" outlineLevel="0" collapsed="false">
      <c r="A4" s="22" t="s">
        <v>3103</v>
      </c>
      <c r="B4" s="22" t="s">
        <v>2842</v>
      </c>
      <c r="C4" s="22" t="s">
        <v>3104</v>
      </c>
      <c r="D4" s="22"/>
      <c r="E4" s="22"/>
      <c r="F4" s="22"/>
      <c r="G4" s="22"/>
      <c r="H4" s="22"/>
      <c r="I4" s="22"/>
      <c r="J4" s="22"/>
      <c r="K4" s="22"/>
      <c r="L4" s="22"/>
      <c r="M4" s="22"/>
      <c r="N4" s="22"/>
      <c r="O4" s="22"/>
      <c r="P4" s="22"/>
      <c r="Q4" s="22"/>
      <c r="R4" s="22"/>
      <c r="S4" s="22"/>
      <c r="T4" s="22"/>
      <c r="U4" s="22"/>
      <c r="V4" s="22"/>
      <c r="W4" s="22"/>
      <c r="X4" s="22"/>
      <c r="Y4" s="22"/>
      <c r="Z4" s="22"/>
    </row>
    <row r="5" customFormat="false" ht="12.75" hidden="false" customHeight="true" outlineLevel="0" collapsed="false">
      <c r="A5" s="22" t="s">
        <v>3105</v>
      </c>
      <c r="B5" s="22" t="s">
        <v>3106</v>
      </c>
      <c r="C5" s="22" t="s">
        <v>3107</v>
      </c>
      <c r="D5" s="22"/>
      <c r="E5" s="22"/>
      <c r="F5" s="22"/>
      <c r="G5" s="22"/>
      <c r="H5" s="22"/>
      <c r="I5" s="22"/>
      <c r="J5" s="22"/>
      <c r="K5" s="22"/>
      <c r="L5" s="22"/>
      <c r="M5" s="22"/>
      <c r="N5" s="22"/>
      <c r="O5" s="22"/>
      <c r="P5" s="22"/>
      <c r="Q5" s="22"/>
      <c r="R5" s="22"/>
      <c r="S5" s="22"/>
      <c r="T5" s="22"/>
      <c r="U5" s="22"/>
      <c r="V5" s="22"/>
      <c r="W5" s="22"/>
      <c r="X5" s="22"/>
      <c r="Y5" s="22"/>
      <c r="Z5" s="22"/>
    </row>
    <row r="6" customFormat="false" ht="12.75" hidden="false" customHeight="true" outlineLevel="0" collapsed="false">
      <c r="A6" s="22" t="s">
        <v>3108</v>
      </c>
      <c r="B6" s="22" t="s">
        <v>3109</v>
      </c>
      <c r="C6" s="22" t="s">
        <v>3110</v>
      </c>
      <c r="D6" s="22"/>
      <c r="E6" s="22"/>
      <c r="F6" s="22"/>
      <c r="G6" s="22"/>
      <c r="H6" s="22"/>
      <c r="I6" s="22"/>
      <c r="J6" s="22"/>
      <c r="K6" s="22"/>
      <c r="L6" s="22"/>
      <c r="M6" s="22"/>
      <c r="N6" s="22"/>
      <c r="O6" s="22"/>
      <c r="P6" s="22"/>
      <c r="Q6" s="22"/>
      <c r="R6" s="22"/>
      <c r="S6" s="22"/>
      <c r="T6" s="22"/>
      <c r="U6" s="22"/>
      <c r="V6" s="22"/>
      <c r="W6" s="22"/>
      <c r="X6" s="22"/>
      <c r="Y6" s="22"/>
      <c r="Z6" s="22"/>
    </row>
    <row r="7" customFormat="false" ht="26.25" hidden="false" customHeight="true" outlineLevel="0" collapsed="false">
      <c r="A7" s="22" t="s">
        <v>3111</v>
      </c>
      <c r="B7" s="22" t="s">
        <v>2842</v>
      </c>
      <c r="C7" s="22" t="s">
        <v>3112</v>
      </c>
      <c r="D7" s="22"/>
      <c r="E7" s="22"/>
      <c r="F7" s="22"/>
      <c r="G7" s="22"/>
      <c r="H7" s="22"/>
      <c r="I7" s="22"/>
      <c r="J7" s="22"/>
      <c r="K7" s="22"/>
      <c r="L7" s="22"/>
      <c r="M7" s="22"/>
      <c r="N7" s="22"/>
      <c r="O7" s="22"/>
      <c r="P7" s="22"/>
      <c r="Q7" s="22"/>
      <c r="R7" s="22"/>
      <c r="S7" s="22"/>
      <c r="T7" s="22"/>
      <c r="U7" s="22"/>
      <c r="V7" s="22"/>
      <c r="W7" s="22"/>
      <c r="X7" s="22"/>
      <c r="Y7" s="22"/>
      <c r="Z7" s="22"/>
    </row>
    <row r="8" customFormat="false" ht="26.25" hidden="false" customHeight="true" outlineLevel="0" collapsed="false">
      <c r="A8" s="22" t="s">
        <v>3113</v>
      </c>
      <c r="B8" s="22" t="s">
        <v>3114</v>
      </c>
      <c r="C8" s="22" t="s">
        <v>3115</v>
      </c>
      <c r="D8" s="22"/>
      <c r="E8" s="22"/>
      <c r="F8" s="22"/>
      <c r="G8" s="22"/>
      <c r="H8" s="22"/>
      <c r="I8" s="22"/>
      <c r="J8" s="22"/>
      <c r="K8" s="22"/>
      <c r="L8" s="22"/>
      <c r="M8" s="22"/>
      <c r="N8" s="22"/>
      <c r="O8" s="22"/>
      <c r="P8" s="22"/>
      <c r="Q8" s="22"/>
      <c r="R8" s="22"/>
      <c r="S8" s="22"/>
      <c r="T8" s="22"/>
      <c r="U8" s="22"/>
      <c r="V8" s="22"/>
      <c r="W8" s="22"/>
      <c r="X8" s="22"/>
      <c r="Y8" s="22"/>
      <c r="Z8" s="22"/>
    </row>
    <row r="9" customFormat="false" ht="26.25" hidden="false" customHeight="true" outlineLevel="0" collapsed="false">
      <c r="A9" s="22" t="s">
        <v>3116</v>
      </c>
      <c r="B9" s="22" t="s">
        <v>3117</v>
      </c>
      <c r="C9" s="22" t="s">
        <v>3118</v>
      </c>
      <c r="D9" s="22"/>
      <c r="E9" s="22"/>
      <c r="F9" s="22"/>
      <c r="G9" s="22"/>
      <c r="H9" s="22"/>
      <c r="I9" s="22"/>
      <c r="J9" s="22"/>
      <c r="K9" s="22"/>
      <c r="L9" s="22"/>
      <c r="M9" s="22"/>
      <c r="N9" s="22"/>
      <c r="O9" s="22"/>
      <c r="P9" s="22"/>
      <c r="Q9" s="22"/>
      <c r="R9" s="22"/>
      <c r="S9" s="22"/>
      <c r="T9" s="22"/>
      <c r="U9" s="22"/>
      <c r="V9" s="22"/>
      <c r="W9" s="22"/>
      <c r="X9" s="22"/>
      <c r="Y9" s="22"/>
      <c r="Z9" s="22"/>
    </row>
    <row r="10" customFormat="false" ht="12.75" hidden="false" customHeight="true" outlineLevel="0" collapsed="false">
      <c r="A10" s="22"/>
      <c r="B10" s="22"/>
      <c r="C10" s="22"/>
      <c r="D10" s="22"/>
      <c r="E10" s="22"/>
      <c r="F10" s="22"/>
      <c r="G10" s="22"/>
      <c r="H10" s="22"/>
      <c r="I10" s="22"/>
      <c r="J10" s="22"/>
      <c r="K10" s="22"/>
      <c r="L10" s="22"/>
      <c r="M10" s="22"/>
      <c r="N10" s="22"/>
      <c r="O10" s="22"/>
      <c r="P10" s="22"/>
      <c r="Q10" s="22"/>
      <c r="R10" s="22"/>
      <c r="S10" s="22"/>
      <c r="T10" s="22"/>
      <c r="U10" s="22"/>
      <c r="V10" s="22"/>
      <c r="W10" s="22"/>
      <c r="X10" s="22"/>
      <c r="Y10" s="22"/>
      <c r="Z10" s="22"/>
    </row>
    <row r="11" customFormat="false" ht="12.75" hidden="false" customHeight="true" outlineLevel="0" collapsed="false">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row>
    <row r="12" customFormat="false" ht="12.75" hidden="false" customHeight="true" outlineLevel="0" collapsed="false">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row>
    <row r="13" customFormat="false" ht="12.75" hidden="false" customHeight="true" outlineLevel="0" collapsed="false">
      <c r="A13" s="22"/>
      <c r="B13" s="22"/>
      <c r="C13" s="22"/>
      <c r="D13" s="22"/>
      <c r="E13" s="22"/>
      <c r="F13" s="22"/>
      <c r="G13" s="22"/>
      <c r="H13" s="22"/>
      <c r="I13" s="22"/>
      <c r="J13" s="22"/>
      <c r="K13" s="22"/>
      <c r="L13" s="22"/>
      <c r="M13" s="22"/>
      <c r="N13" s="22"/>
      <c r="O13" s="22"/>
      <c r="P13" s="22"/>
      <c r="Q13" s="22"/>
      <c r="R13" s="22"/>
      <c r="S13" s="22"/>
      <c r="T13" s="22"/>
      <c r="U13" s="22"/>
      <c r="V13" s="22"/>
      <c r="W13" s="22"/>
      <c r="X13" s="22"/>
      <c r="Y13" s="22"/>
      <c r="Z13" s="22"/>
    </row>
    <row r="14" customFormat="false" ht="12.75" hidden="false" customHeight="true" outlineLevel="0" collapsed="false">
      <c r="A14" s="22"/>
      <c r="B14" s="22"/>
      <c r="C14" s="22"/>
      <c r="D14" s="22"/>
      <c r="E14" s="22"/>
      <c r="F14" s="22"/>
      <c r="G14" s="22"/>
      <c r="H14" s="22"/>
      <c r="I14" s="22"/>
      <c r="J14" s="22"/>
      <c r="K14" s="22"/>
      <c r="L14" s="22"/>
      <c r="M14" s="22"/>
      <c r="N14" s="22"/>
      <c r="O14" s="22"/>
      <c r="P14" s="22"/>
      <c r="Q14" s="22"/>
      <c r="R14" s="22"/>
      <c r="S14" s="22"/>
      <c r="T14" s="22"/>
      <c r="U14" s="22"/>
      <c r="V14" s="22"/>
      <c r="W14" s="22"/>
      <c r="X14" s="22"/>
      <c r="Y14" s="22"/>
      <c r="Z14" s="22"/>
    </row>
    <row r="15" customFormat="false" ht="12.75" hidden="false" customHeight="true" outlineLevel="0" collapsed="false">
      <c r="A15" s="22"/>
      <c r="B15" s="22"/>
      <c r="C15" s="22"/>
      <c r="D15" s="22"/>
      <c r="E15" s="22"/>
      <c r="F15" s="22"/>
      <c r="G15" s="22"/>
      <c r="H15" s="22"/>
      <c r="I15" s="22"/>
      <c r="J15" s="22"/>
      <c r="K15" s="22"/>
      <c r="L15" s="22"/>
      <c r="M15" s="22"/>
      <c r="N15" s="22"/>
      <c r="O15" s="22"/>
      <c r="P15" s="22"/>
      <c r="Q15" s="22"/>
      <c r="R15" s="22"/>
      <c r="S15" s="22"/>
      <c r="T15" s="22"/>
      <c r="U15" s="22"/>
      <c r="V15" s="22"/>
      <c r="W15" s="22"/>
      <c r="X15" s="22"/>
      <c r="Y15" s="22"/>
      <c r="Z15" s="22"/>
    </row>
    <row r="16" customFormat="false" ht="12.75" hidden="false" customHeight="true" outlineLevel="0" collapsed="false">
      <c r="A16" s="22"/>
      <c r="B16" s="22"/>
      <c r="C16" s="22"/>
      <c r="D16" s="22"/>
      <c r="E16" s="22"/>
      <c r="F16" s="22"/>
      <c r="G16" s="22"/>
      <c r="H16" s="22"/>
      <c r="I16" s="22"/>
      <c r="J16" s="22"/>
      <c r="K16" s="22"/>
      <c r="L16" s="22"/>
      <c r="M16" s="22"/>
      <c r="N16" s="22"/>
      <c r="O16" s="22"/>
      <c r="P16" s="22"/>
      <c r="Q16" s="22"/>
      <c r="R16" s="22"/>
      <c r="S16" s="22"/>
      <c r="T16" s="22"/>
      <c r="U16" s="22"/>
      <c r="V16" s="22"/>
      <c r="W16" s="22"/>
      <c r="X16" s="22"/>
      <c r="Y16" s="22"/>
      <c r="Z16" s="22"/>
    </row>
    <row r="17" customFormat="false" ht="12.75" hidden="false" customHeight="true" outlineLevel="0" collapsed="false">
      <c r="A17" s="22"/>
      <c r="B17" s="22"/>
      <c r="C17" s="22"/>
      <c r="D17" s="22"/>
      <c r="E17" s="22"/>
      <c r="F17" s="22"/>
      <c r="G17" s="22"/>
      <c r="H17" s="22"/>
      <c r="I17" s="22"/>
      <c r="J17" s="22"/>
      <c r="K17" s="22"/>
      <c r="L17" s="22"/>
      <c r="M17" s="22"/>
      <c r="N17" s="22"/>
      <c r="O17" s="22"/>
      <c r="P17" s="22"/>
      <c r="Q17" s="22"/>
      <c r="R17" s="22"/>
      <c r="S17" s="22"/>
      <c r="T17" s="22"/>
      <c r="U17" s="22"/>
      <c r="V17" s="22"/>
      <c r="W17" s="22"/>
      <c r="X17" s="22"/>
      <c r="Y17" s="22"/>
      <c r="Z17" s="22"/>
    </row>
    <row r="18" customFormat="false" ht="12.75" hidden="false" customHeight="true" outlineLevel="0" collapsed="false">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row>
    <row r="19" customFormat="false" ht="12.75" hidden="false" customHeight="true" outlineLevel="0" collapsed="false">
      <c r="A19" s="22"/>
      <c r="B19" s="22"/>
      <c r="C19" s="22"/>
      <c r="D19" s="22"/>
      <c r="E19" s="22"/>
      <c r="F19" s="22"/>
      <c r="G19" s="22"/>
      <c r="H19" s="22"/>
      <c r="I19" s="22"/>
      <c r="J19" s="22"/>
      <c r="K19" s="22"/>
      <c r="L19" s="22"/>
      <c r="M19" s="22"/>
      <c r="N19" s="22"/>
      <c r="O19" s="22"/>
      <c r="P19" s="22"/>
      <c r="Q19" s="22"/>
      <c r="R19" s="22"/>
      <c r="S19" s="22"/>
      <c r="T19" s="22"/>
      <c r="U19" s="22"/>
      <c r="V19" s="22"/>
      <c r="W19" s="22"/>
      <c r="X19" s="22"/>
      <c r="Y19" s="22"/>
      <c r="Z19" s="22"/>
    </row>
    <row r="20" customFormat="false" ht="12.75" hidden="false" customHeight="true" outlineLevel="0" collapsed="false">
      <c r="A20" s="22"/>
      <c r="B20" s="22"/>
      <c r="C20" s="22"/>
      <c r="D20" s="22"/>
      <c r="E20" s="22"/>
      <c r="F20" s="22"/>
      <c r="G20" s="22"/>
      <c r="H20" s="22"/>
      <c r="I20" s="22"/>
      <c r="J20" s="22"/>
      <c r="K20" s="22"/>
      <c r="L20" s="22"/>
      <c r="M20" s="22"/>
      <c r="N20" s="22"/>
      <c r="O20" s="22"/>
      <c r="P20" s="22"/>
      <c r="Q20" s="22"/>
      <c r="R20" s="22"/>
      <c r="S20" s="22"/>
      <c r="T20" s="22"/>
      <c r="U20" s="22"/>
      <c r="V20" s="22"/>
      <c r="W20" s="22"/>
      <c r="X20" s="22"/>
      <c r="Y20" s="22"/>
      <c r="Z20" s="22"/>
    </row>
    <row r="21" customFormat="false" ht="12.75" hidden="false" customHeight="true" outlineLevel="0" collapsed="false">
      <c r="A21" s="22"/>
      <c r="B21" s="22"/>
      <c r="C21" s="22"/>
      <c r="D21" s="22"/>
      <c r="E21" s="22"/>
      <c r="F21" s="22"/>
      <c r="G21" s="22"/>
      <c r="H21" s="22"/>
      <c r="I21" s="22"/>
      <c r="J21" s="22"/>
      <c r="K21" s="22"/>
      <c r="L21" s="22"/>
      <c r="M21" s="22"/>
      <c r="N21" s="22"/>
      <c r="O21" s="22"/>
      <c r="P21" s="22"/>
      <c r="Q21" s="22"/>
      <c r="R21" s="22"/>
      <c r="S21" s="22"/>
      <c r="T21" s="22"/>
      <c r="U21" s="22"/>
      <c r="V21" s="22"/>
      <c r="W21" s="22"/>
      <c r="X21" s="22"/>
      <c r="Y21" s="22"/>
      <c r="Z21" s="22"/>
    </row>
    <row r="22" customFormat="false" ht="12.75" hidden="false" customHeight="true" outlineLevel="0" collapsed="false">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row>
    <row r="23" customFormat="false" ht="12.75" hidden="false" customHeight="true" outlineLevel="0" collapsed="false">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row>
    <row r="24" customFormat="false" ht="12.75" hidden="false" customHeight="true" outlineLevel="0" collapsed="false">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row>
    <row r="25" customFormat="false" ht="12.75" hidden="false" customHeight="true" outlineLevel="0" collapsed="false">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row>
    <row r="26" customFormat="false" ht="12.75" hidden="false" customHeight="true" outlineLevel="0" collapsed="false">
      <c r="A26" s="22"/>
      <c r="B26" s="22"/>
      <c r="C26" s="22"/>
      <c r="D26" s="22"/>
      <c r="E26" s="22"/>
      <c r="F26" s="22"/>
      <c r="G26" s="22"/>
      <c r="H26" s="22"/>
      <c r="I26" s="22"/>
      <c r="J26" s="22"/>
      <c r="K26" s="22"/>
      <c r="L26" s="22"/>
      <c r="M26" s="22"/>
      <c r="N26" s="22"/>
      <c r="O26" s="22"/>
      <c r="P26" s="22"/>
      <c r="Q26" s="22"/>
      <c r="R26" s="22"/>
      <c r="S26" s="22"/>
      <c r="T26" s="22"/>
      <c r="U26" s="22"/>
      <c r="V26" s="22"/>
      <c r="W26" s="22"/>
      <c r="X26" s="22"/>
      <c r="Y26" s="22"/>
      <c r="Z26" s="22"/>
    </row>
    <row r="27" customFormat="false" ht="12.75" hidden="false" customHeight="true" outlineLevel="0" collapsed="false">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row>
    <row r="28" customFormat="false" ht="12.75" hidden="false" customHeight="true" outlineLevel="0" collapsed="false">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row>
    <row r="29" customFormat="false" ht="12.75" hidden="false" customHeight="true" outlineLevel="0" collapsed="false">
      <c r="A29" s="22"/>
      <c r="B29" s="22"/>
      <c r="C29" s="22"/>
      <c r="D29" s="22"/>
      <c r="E29" s="22"/>
      <c r="F29" s="22"/>
      <c r="G29" s="22"/>
      <c r="H29" s="22"/>
      <c r="I29" s="22"/>
      <c r="J29" s="22"/>
      <c r="K29" s="22"/>
      <c r="L29" s="22"/>
      <c r="M29" s="22"/>
      <c r="N29" s="22"/>
      <c r="O29" s="22"/>
      <c r="P29" s="22"/>
      <c r="Q29" s="22"/>
      <c r="R29" s="22"/>
      <c r="S29" s="22"/>
      <c r="T29" s="22"/>
      <c r="U29" s="22"/>
      <c r="V29" s="22"/>
      <c r="W29" s="22"/>
      <c r="X29" s="22"/>
      <c r="Y29" s="22"/>
      <c r="Z29" s="22"/>
    </row>
    <row r="30" customFormat="false" ht="12.75" hidden="false" customHeight="true" outlineLevel="0" collapsed="false">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row>
    <row r="31" customFormat="false" ht="12.75" hidden="false" customHeight="true" outlineLevel="0" collapsed="false">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row>
    <row r="32" customFormat="false" ht="12.75" hidden="false" customHeight="true" outlineLevel="0" collapsed="false">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row>
    <row r="33" customFormat="false" ht="12.75" hidden="false" customHeight="true" outlineLevel="0" collapsed="false">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row>
    <row r="34" customFormat="false" ht="12.75" hidden="false" customHeight="true" outlineLevel="0" collapsed="false">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row>
    <row r="35" customFormat="false" ht="12.75" hidden="false" customHeight="true" outlineLevel="0" collapsed="false">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row>
    <row r="36" customFormat="false" ht="12.75" hidden="false" customHeight="true" outlineLevel="0" collapsed="false">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customFormat="false" ht="12.75" hidden="false" customHeight="true" outlineLevel="0" collapsed="false">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row>
    <row r="38" customFormat="false" ht="12.75"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row>
    <row r="39" customFormat="false" ht="12.75" hidden="false" customHeight="true" outlineLevel="0" collapsed="false">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row>
    <row r="40" customFormat="false" ht="12.75" hidden="false" customHeight="true" outlineLevel="0" collapsed="false">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row>
    <row r="41" customFormat="false" ht="12.75" hidden="false" customHeight="true" outlineLevel="0" collapsed="false">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row>
    <row r="42" customFormat="false" ht="12.75" hidden="false" customHeight="true" outlineLevel="0" collapsed="false">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row>
    <row r="43" customFormat="false" ht="12.75" hidden="false" customHeight="true" outlineLevel="0" collapsed="false">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row>
    <row r="44" customFormat="false" ht="12.75" hidden="false" customHeight="true" outlineLevel="0" collapsed="false">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row>
    <row r="45" customFormat="false" ht="12.75" hidden="false" customHeight="true" outlineLevel="0" collapsed="false">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row>
    <row r="46" customFormat="false" ht="12.75" hidden="false" customHeight="true" outlineLevel="0" collapsed="false">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row>
    <row r="47" customFormat="false" ht="12.75" hidden="false" customHeight="true" outlineLevel="0" collapsed="false">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row>
    <row r="48" customFormat="false" ht="12.75" hidden="false" customHeight="true" outlineLevel="0" collapsed="false">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row>
    <row r="49" customFormat="false" ht="12.75" hidden="false" customHeight="true" outlineLevel="0" collapsed="false">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customFormat="false" ht="12.75" hidden="false" customHeight="true" outlineLevel="0" collapsed="false">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row>
    <row r="51" customFormat="false" ht="12.75" hidden="false" customHeight="true" outlineLevel="0" collapsed="false">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row>
    <row r="52" customFormat="false" ht="12.75" hidden="false" customHeight="true" outlineLevel="0" collapsed="false">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row>
    <row r="53" customFormat="false" ht="12.75" hidden="false" customHeight="true" outlineLevel="0" collapsed="false">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row>
    <row r="54" customFormat="false" ht="12.75" hidden="false" customHeight="true" outlineLevel="0" collapsed="false">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row>
    <row r="55" customFormat="false" ht="12.75" hidden="false" customHeight="true" outlineLevel="0" collapsed="false">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row>
    <row r="56" customFormat="false" ht="12.75" hidden="false" customHeight="true" outlineLevel="0" collapsed="false">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row>
    <row r="57" customFormat="false" ht="12.75" hidden="false" customHeight="true" outlineLevel="0" collapsed="false">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customFormat="false" ht="12.75" hidden="false" customHeight="true" outlineLevel="0" collapsed="false">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row>
    <row r="59" customFormat="false" ht="12.75" hidden="false" customHeight="true" outlineLevel="0" collapsed="false">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row>
    <row r="60" customFormat="false" ht="12.75" hidden="false" customHeight="true" outlineLevel="0" collapsed="false">
      <c r="A60" s="22"/>
      <c r="B60" s="22"/>
      <c r="C60" s="22"/>
      <c r="D60" s="22"/>
      <c r="E60" s="22"/>
      <c r="F60" s="22"/>
      <c r="G60" s="22"/>
      <c r="H60" s="22"/>
      <c r="I60" s="22"/>
      <c r="J60" s="22"/>
      <c r="K60" s="22"/>
      <c r="L60" s="22"/>
      <c r="M60" s="22"/>
      <c r="N60" s="22"/>
      <c r="O60" s="22"/>
      <c r="P60" s="22"/>
      <c r="Q60" s="22"/>
      <c r="R60" s="22"/>
      <c r="S60" s="22"/>
      <c r="T60" s="22"/>
      <c r="U60" s="22"/>
      <c r="V60" s="22"/>
      <c r="W60" s="22"/>
      <c r="X60" s="22"/>
      <c r="Y60" s="22"/>
      <c r="Z60" s="22"/>
    </row>
    <row r="61" customFormat="false" ht="12.75" hidden="false" customHeight="true" outlineLevel="0" collapsed="false">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row>
    <row r="62" customFormat="false" ht="12.75" hidden="false" customHeight="true" outlineLevel="0" collapsed="false">
      <c r="A62" s="22"/>
      <c r="B62" s="22"/>
      <c r="C62" s="22"/>
      <c r="D62" s="22"/>
      <c r="E62" s="22"/>
      <c r="F62" s="22"/>
      <c r="G62" s="22"/>
      <c r="H62" s="22"/>
      <c r="I62" s="22"/>
      <c r="J62" s="22"/>
      <c r="K62" s="22"/>
      <c r="L62" s="22"/>
      <c r="M62" s="22"/>
      <c r="N62" s="22"/>
      <c r="O62" s="22"/>
      <c r="P62" s="22"/>
      <c r="Q62" s="22"/>
      <c r="R62" s="22"/>
      <c r="S62" s="22"/>
      <c r="T62" s="22"/>
      <c r="U62" s="22"/>
      <c r="V62" s="22"/>
      <c r="W62" s="22"/>
      <c r="X62" s="22"/>
      <c r="Y62" s="22"/>
      <c r="Z62" s="22"/>
    </row>
    <row r="63" customFormat="false" ht="12.75" hidden="false" customHeight="true" outlineLevel="0" collapsed="false">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row>
    <row r="64" customFormat="false" ht="12.75" hidden="false" customHeight="true" outlineLevel="0" collapsed="false">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row>
    <row r="65" customFormat="false" ht="12.75" hidden="false" customHeight="true" outlineLevel="0" collapsed="false">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row>
    <row r="66" customFormat="false" ht="12.75" hidden="false" customHeight="true" outlineLevel="0" collapsed="false">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row>
    <row r="67" customFormat="false" ht="12.75" hidden="false" customHeight="true" outlineLevel="0" collapsed="false">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row>
    <row r="68" customFormat="false" ht="12.75" hidden="false" customHeight="true" outlineLevel="0" collapsed="false">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row>
    <row r="69" customFormat="false" ht="12.75" hidden="false" customHeight="true" outlineLevel="0" collapsed="false">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row>
    <row r="70" customFormat="false" ht="12.75" hidden="false" customHeight="true" outlineLevel="0" collapsed="false">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row>
    <row r="71" customFormat="false" ht="12.75" hidden="false" customHeight="true" outlineLevel="0" collapsed="false">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row>
    <row r="72" customFormat="false" ht="12.75" hidden="false" customHeight="true" outlineLevel="0" collapsed="false">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row>
    <row r="73" customFormat="false" ht="12.75" hidden="false" customHeight="true" outlineLevel="0" collapsed="false">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row>
    <row r="74" customFormat="false" ht="12.75" hidden="false" customHeight="true" outlineLevel="0" collapsed="false">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row>
    <row r="75" customFormat="false" ht="12.75" hidden="false" customHeight="true" outlineLevel="0" collapsed="false">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row>
    <row r="76" customFormat="false" ht="12.75" hidden="false" customHeight="true" outlineLevel="0" collapsed="false">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row>
    <row r="77" customFormat="false" ht="12.75" hidden="false" customHeight="true" outlineLevel="0" collapsed="false">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row>
    <row r="78" customFormat="false" ht="12.75" hidden="false" customHeight="true" outlineLevel="0" collapsed="false">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row>
    <row r="79" customFormat="false" ht="12.75" hidden="false" customHeight="true" outlineLevel="0" collapsed="false">
      <c r="A79" s="22"/>
      <c r="B79" s="22"/>
      <c r="C79" s="22"/>
      <c r="D79" s="22"/>
      <c r="E79" s="22"/>
      <c r="F79" s="22"/>
      <c r="G79" s="22"/>
      <c r="H79" s="22"/>
      <c r="I79" s="22"/>
      <c r="J79" s="22"/>
      <c r="K79" s="22"/>
      <c r="L79" s="22"/>
      <c r="M79" s="22"/>
      <c r="N79" s="22"/>
      <c r="O79" s="22"/>
      <c r="P79" s="22"/>
      <c r="Q79" s="22"/>
      <c r="R79" s="22"/>
      <c r="S79" s="22"/>
      <c r="T79" s="22"/>
      <c r="U79" s="22"/>
      <c r="V79" s="22"/>
      <c r="W79" s="22"/>
      <c r="X79" s="22"/>
      <c r="Y79" s="22"/>
      <c r="Z79" s="22"/>
    </row>
    <row r="80" customFormat="false" ht="12.75" hidden="false" customHeight="true" outlineLevel="0" collapsed="false">
      <c r="A80" s="22"/>
      <c r="B80" s="22"/>
      <c r="C80" s="22"/>
      <c r="D80" s="22"/>
      <c r="E80" s="22"/>
      <c r="F80" s="22"/>
      <c r="G80" s="22"/>
      <c r="H80" s="22"/>
      <c r="I80" s="22"/>
      <c r="J80" s="22"/>
      <c r="K80" s="22"/>
      <c r="L80" s="22"/>
      <c r="M80" s="22"/>
      <c r="N80" s="22"/>
      <c r="O80" s="22"/>
      <c r="P80" s="22"/>
      <c r="Q80" s="22"/>
      <c r="R80" s="22"/>
      <c r="S80" s="22"/>
      <c r="T80" s="22"/>
      <c r="U80" s="22"/>
      <c r="V80" s="22"/>
      <c r="W80" s="22"/>
      <c r="X80" s="22"/>
      <c r="Y80" s="22"/>
      <c r="Z80" s="22"/>
    </row>
    <row r="81" customFormat="false" ht="12.75" hidden="false" customHeight="true" outlineLevel="0" collapsed="false">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row>
    <row r="82" customFormat="false" ht="12.75" hidden="false" customHeight="true" outlineLevel="0" collapsed="false">
      <c r="A82" s="22"/>
      <c r="B82" s="22"/>
      <c r="C82" s="22"/>
      <c r="D82" s="22"/>
      <c r="E82" s="22"/>
      <c r="F82" s="22"/>
      <c r="G82" s="22"/>
      <c r="H82" s="22"/>
      <c r="I82" s="22"/>
      <c r="J82" s="22"/>
      <c r="K82" s="22"/>
      <c r="L82" s="22"/>
      <c r="M82" s="22"/>
      <c r="N82" s="22"/>
      <c r="O82" s="22"/>
      <c r="P82" s="22"/>
      <c r="Q82" s="22"/>
      <c r="R82" s="22"/>
      <c r="S82" s="22"/>
      <c r="T82" s="22"/>
      <c r="U82" s="22"/>
      <c r="V82" s="22"/>
      <c r="W82" s="22"/>
      <c r="X82" s="22"/>
      <c r="Y82" s="22"/>
      <c r="Z82" s="22"/>
    </row>
    <row r="83" customFormat="false" ht="12.75" hidden="false" customHeight="true" outlineLevel="0" collapsed="false">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row>
    <row r="84" customFormat="false" ht="12.75" hidden="false" customHeight="true" outlineLevel="0" collapsed="false">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row>
    <row r="85" customFormat="false" ht="12.75" hidden="false" customHeight="true" outlineLevel="0" collapsed="false">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row>
    <row r="86" customFormat="false" ht="12.75" hidden="false" customHeight="true" outlineLevel="0" collapsed="false">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row>
    <row r="87" customFormat="false" ht="12.75" hidden="false" customHeight="true" outlineLevel="0" collapsed="false">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row>
    <row r="88" customFormat="false" ht="12.75" hidden="false" customHeight="true" outlineLevel="0" collapsed="false">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row>
    <row r="89" customFormat="false" ht="12.75" hidden="false" customHeight="true" outlineLevel="0" collapsed="false">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row>
    <row r="90" customFormat="false" ht="12.75" hidden="false" customHeight="true" outlineLevel="0" collapsed="false">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row>
    <row r="91" customFormat="false" ht="12.75" hidden="false" customHeight="true" outlineLevel="0" collapsed="false">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row>
    <row r="92" customFormat="false" ht="12.75" hidden="false" customHeight="true" outlineLevel="0" collapsed="false">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row>
    <row r="93" customFormat="false" ht="12.75" hidden="false" customHeight="true" outlineLevel="0" collapsed="false">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row>
    <row r="94" customFormat="false" ht="12.75" hidden="false" customHeight="true" outlineLevel="0" collapsed="false">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row>
    <row r="95" customFormat="false" ht="12.75" hidden="false" customHeight="true" outlineLevel="0" collapsed="false">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row>
    <row r="96" customFormat="false" ht="12.75" hidden="false" customHeight="true" outlineLevel="0" collapsed="false">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row>
    <row r="97" customFormat="false" ht="12.75" hidden="false" customHeight="true" outlineLevel="0" collapsed="false">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row>
    <row r="98" customFormat="false" ht="12.75" hidden="false" customHeight="true" outlineLevel="0" collapsed="false">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row>
    <row r="99" customFormat="false" ht="12.75" hidden="false" customHeight="true" outlineLevel="0" collapsed="false">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row>
    <row r="100" customFormat="false" ht="12.75" hidden="false" customHeight="true" outlineLevel="0" collapsed="false">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31"/>
    <col collapsed="false" customWidth="true" hidden="false" outlineLevel="0" max="3" min="2" style="1" width="36"/>
    <col collapsed="false" customWidth="true" hidden="false" outlineLevel="0" max="12" min="4" style="2" width="10"/>
  </cols>
  <sheetData>
    <row r="1" customFormat="false" ht="12.75" hidden="false" customHeight="true" outlineLevel="0" collapsed="false">
      <c r="A1" s="21" t="s">
        <v>241</v>
      </c>
      <c r="B1" s="21" t="s">
        <v>242</v>
      </c>
      <c r="C1" s="21" t="s">
        <v>979</v>
      </c>
      <c r="D1" s="21"/>
      <c r="E1" s="21"/>
      <c r="F1" s="21"/>
      <c r="G1" s="21"/>
      <c r="H1" s="21"/>
      <c r="I1" s="21"/>
      <c r="J1" s="21"/>
      <c r="K1" s="21"/>
      <c r="L1" s="21"/>
      <c r="M1" s="21"/>
      <c r="N1" s="21"/>
      <c r="O1" s="21"/>
      <c r="P1" s="21"/>
      <c r="Q1" s="21"/>
      <c r="R1" s="21"/>
      <c r="S1" s="21"/>
      <c r="T1" s="21"/>
      <c r="U1" s="21"/>
      <c r="V1" s="21"/>
      <c r="W1" s="21"/>
      <c r="X1" s="21"/>
      <c r="Y1" s="21"/>
      <c r="Z1" s="21"/>
    </row>
    <row r="2" customFormat="false" ht="12.75" hidden="false" customHeight="true" outlineLevel="0" collapsed="false">
      <c r="A2" s="22" t="s">
        <v>3119</v>
      </c>
      <c r="B2" s="22" t="s">
        <v>15</v>
      </c>
      <c r="C2" s="22" t="s">
        <v>3120</v>
      </c>
      <c r="D2" s="22"/>
      <c r="E2" s="22"/>
      <c r="F2" s="22"/>
      <c r="G2" s="22"/>
      <c r="H2" s="22"/>
      <c r="I2" s="22"/>
      <c r="J2" s="22"/>
      <c r="K2" s="22"/>
      <c r="L2" s="22"/>
      <c r="M2" s="22"/>
      <c r="N2" s="22"/>
      <c r="O2" s="22"/>
      <c r="P2" s="22"/>
      <c r="Q2" s="22"/>
      <c r="R2" s="22"/>
      <c r="S2" s="22"/>
      <c r="T2" s="22"/>
      <c r="U2" s="22"/>
      <c r="V2" s="22"/>
      <c r="W2" s="22"/>
      <c r="X2" s="22"/>
      <c r="Y2" s="22"/>
      <c r="Z2" s="22"/>
    </row>
    <row r="3" customFormat="false" ht="12.75" hidden="false" customHeight="true" outlineLevel="0" collapsed="false">
      <c r="A3" s="22" t="s">
        <v>3121</v>
      </c>
      <c r="B3" s="22" t="s">
        <v>3122</v>
      </c>
      <c r="C3" s="22" t="s">
        <v>3123</v>
      </c>
      <c r="D3" s="22"/>
      <c r="E3" s="22"/>
      <c r="F3" s="22"/>
      <c r="G3" s="22"/>
      <c r="H3" s="22"/>
      <c r="I3" s="22"/>
      <c r="J3" s="22"/>
      <c r="K3" s="22"/>
      <c r="L3" s="22"/>
      <c r="M3" s="22"/>
      <c r="N3" s="22"/>
      <c r="O3" s="22"/>
      <c r="P3" s="22"/>
      <c r="Q3" s="22"/>
      <c r="R3" s="22"/>
      <c r="S3" s="22"/>
      <c r="T3" s="22"/>
      <c r="U3" s="22"/>
      <c r="V3" s="22"/>
      <c r="W3" s="22"/>
      <c r="X3" s="22"/>
      <c r="Y3" s="22"/>
      <c r="Z3" s="22"/>
    </row>
    <row r="4" customFormat="false" ht="26.25" hidden="false" customHeight="true" outlineLevel="0" collapsed="false">
      <c r="A4" s="22" t="s">
        <v>3124</v>
      </c>
      <c r="B4" s="22" t="s">
        <v>3125</v>
      </c>
      <c r="C4" s="22" t="s">
        <v>3126</v>
      </c>
      <c r="D4" s="22"/>
      <c r="E4" s="22"/>
      <c r="F4" s="22"/>
      <c r="G4" s="22"/>
      <c r="H4" s="22"/>
      <c r="I4" s="22"/>
      <c r="J4" s="22"/>
      <c r="K4" s="22"/>
      <c r="L4" s="22"/>
      <c r="M4" s="22"/>
      <c r="N4" s="22"/>
      <c r="O4" s="22"/>
      <c r="P4" s="22"/>
      <c r="Q4" s="22"/>
      <c r="R4" s="22"/>
      <c r="S4" s="22"/>
      <c r="T4" s="22"/>
      <c r="U4" s="22"/>
      <c r="V4" s="22"/>
      <c r="W4" s="22"/>
      <c r="X4" s="22"/>
      <c r="Y4" s="22"/>
      <c r="Z4" s="22"/>
    </row>
    <row r="5" customFormat="false" ht="26.25" hidden="false" customHeight="true" outlineLevel="0" collapsed="false">
      <c r="A5" s="22" t="s">
        <v>3127</v>
      </c>
      <c r="B5" s="22" t="s">
        <v>3128</v>
      </c>
      <c r="C5" s="22" t="s">
        <v>3129</v>
      </c>
      <c r="D5" s="22"/>
      <c r="E5" s="22"/>
      <c r="F5" s="22"/>
      <c r="G5" s="22"/>
      <c r="H5" s="22"/>
      <c r="I5" s="22"/>
      <c r="J5" s="22"/>
      <c r="K5" s="22"/>
      <c r="L5" s="22"/>
      <c r="M5" s="22"/>
      <c r="N5" s="22"/>
      <c r="O5" s="22"/>
      <c r="P5" s="22"/>
      <c r="Q5" s="22"/>
      <c r="R5" s="22"/>
      <c r="S5" s="22"/>
      <c r="T5" s="22"/>
      <c r="U5" s="22"/>
      <c r="V5" s="22"/>
      <c r="W5" s="22"/>
      <c r="X5" s="22"/>
      <c r="Y5" s="22"/>
      <c r="Z5" s="22"/>
    </row>
    <row r="6" customFormat="false" ht="12.75" hidden="false" customHeight="true" outlineLevel="0" collapsed="false">
      <c r="A6" s="22" t="s">
        <v>3130</v>
      </c>
      <c r="B6" s="22" t="s">
        <v>3131</v>
      </c>
      <c r="C6" s="22" t="s">
        <v>3132</v>
      </c>
      <c r="D6" s="22"/>
      <c r="E6" s="22"/>
      <c r="F6" s="22"/>
      <c r="G6" s="22"/>
      <c r="H6" s="22"/>
      <c r="I6" s="22"/>
      <c r="J6" s="22"/>
      <c r="K6" s="22"/>
      <c r="L6" s="22"/>
      <c r="M6" s="22"/>
      <c r="N6" s="22"/>
      <c r="O6" s="22"/>
      <c r="P6" s="22"/>
      <c r="Q6" s="22"/>
      <c r="R6" s="22"/>
      <c r="S6" s="22"/>
      <c r="T6" s="22"/>
      <c r="U6" s="22"/>
      <c r="V6" s="22"/>
      <c r="W6" s="22"/>
      <c r="X6" s="22"/>
      <c r="Y6" s="22"/>
      <c r="Z6" s="22"/>
    </row>
    <row r="7" customFormat="false" ht="12.75" hidden="false" customHeight="true" outlineLevel="0" collapsed="false">
      <c r="A7" s="22" t="s">
        <v>3133</v>
      </c>
      <c r="B7" s="22" t="s">
        <v>3134</v>
      </c>
      <c r="C7" s="22" t="s">
        <v>3135</v>
      </c>
      <c r="D7" s="22"/>
      <c r="E7" s="22"/>
      <c r="F7" s="22"/>
      <c r="G7" s="22"/>
      <c r="H7" s="22"/>
      <c r="I7" s="22"/>
      <c r="J7" s="22"/>
      <c r="K7" s="22"/>
      <c r="L7" s="22"/>
      <c r="M7" s="22"/>
      <c r="N7" s="22"/>
      <c r="O7" s="22"/>
      <c r="P7" s="22"/>
      <c r="Q7" s="22"/>
      <c r="R7" s="22"/>
      <c r="S7" s="22"/>
      <c r="T7" s="22"/>
      <c r="U7" s="22"/>
      <c r="V7" s="22"/>
      <c r="W7" s="22"/>
      <c r="X7" s="22"/>
      <c r="Y7" s="22"/>
      <c r="Z7" s="22"/>
    </row>
    <row r="8" customFormat="false" ht="26.25" hidden="false" customHeight="true" outlineLevel="0" collapsed="false">
      <c r="A8" s="22" t="s">
        <v>3136</v>
      </c>
      <c r="B8" s="22" t="s">
        <v>3137</v>
      </c>
      <c r="C8" s="22" t="s">
        <v>3138</v>
      </c>
      <c r="D8" s="22"/>
      <c r="E8" s="22"/>
      <c r="F8" s="22"/>
      <c r="G8" s="22"/>
      <c r="H8" s="22"/>
      <c r="I8" s="22"/>
      <c r="J8" s="22"/>
      <c r="K8" s="22"/>
      <c r="L8" s="22"/>
      <c r="M8" s="22"/>
      <c r="N8" s="22"/>
      <c r="O8" s="22"/>
      <c r="P8" s="22"/>
      <c r="Q8" s="22"/>
      <c r="R8" s="22"/>
      <c r="S8" s="22"/>
      <c r="T8" s="22"/>
      <c r="U8" s="22"/>
      <c r="V8" s="22"/>
      <c r="W8" s="22"/>
      <c r="X8" s="22"/>
      <c r="Y8" s="22"/>
      <c r="Z8" s="22"/>
    </row>
    <row r="9" customFormat="false" ht="12.75" hidden="false" customHeight="true" outlineLevel="0" collapsed="false">
      <c r="A9" s="22" t="s">
        <v>3139</v>
      </c>
      <c r="B9" s="22" t="s">
        <v>3114</v>
      </c>
      <c r="C9" s="22" t="s">
        <v>3140</v>
      </c>
      <c r="D9" s="22"/>
      <c r="E9" s="22"/>
      <c r="F9" s="22"/>
      <c r="G9" s="22"/>
      <c r="H9" s="22"/>
      <c r="I9" s="22"/>
      <c r="J9" s="22"/>
      <c r="K9" s="22"/>
      <c r="L9" s="22"/>
      <c r="M9" s="22"/>
      <c r="N9" s="22"/>
      <c r="O9" s="22"/>
      <c r="P9" s="22"/>
      <c r="Q9" s="22"/>
      <c r="R9" s="22"/>
      <c r="S9" s="22"/>
      <c r="T9" s="22"/>
      <c r="U9" s="22"/>
      <c r="V9" s="22"/>
      <c r="W9" s="22"/>
      <c r="X9" s="22"/>
      <c r="Y9" s="22"/>
      <c r="Z9" s="22"/>
    </row>
    <row r="10" customFormat="false" ht="12.75" hidden="false" customHeight="true" outlineLevel="0" collapsed="false">
      <c r="A10" s="22" t="s">
        <v>3141</v>
      </c>
      <c r="B10" s="22" t="s">
        <v>146</v>
      </c>
      <c r="C10" s="22" t="s">
        <v>3142</v>
      </c>
      <c r="D10" s="22"/>
      <c r="E10" s="22"/>
      <c r="F10" s="22"/>
      <c r="G10" s="22"/>
      <c r="H10" s="22"/>
      <c r="I10" s="22"/>
      <c r="J10" s="22"/>
      <c r="K10" s="22"/>
      <c r="L10" s="22"/>
      <c r="M10" s="22"/>
      <c r="N10" s="22"/>
      <c r="O10" s="22"/>
      <c r="P10" s="22"/>
      <c r="Q10" s="22"/>
      <c r="R10" s="22"/>
      <c r="S10" s="22"/>
      <c r="T10" s="22"/>
      <c r="U10" s="22"/>
      <c r="V10" s="22"/>
      <c r="W10" s="22"/>
      <c r="X10" s="22"/>
      <c r="Y10" s="22"/>
      <c r="Z10" s="22"/>
    </row>
    <row r="11" customFormat="false" ht="12.75" hidden="false" customHeight="true" outlineLevel="0" collapsed="false">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row>
    <row r="12" customFormat="false" ht="12.75" hidden="false" customHeight="true" outlineLevel="0" collapsed="false">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row>
    <row r="13" customFormat="false" ht="12.75" hidden="false" customHeight="true" outlineLevel="0" collapsed="false">
      <c r="A13" s="22"/>
      <c r="B13" s="22"/>
      <c r="C13" s="22"/>
      <c r="D13" s="22"/>
      <c r="E13" s="22"/>
      <c r="F13" s="22"/>
      <c r="G13" s="22"/>
      <c r="H13" s="22"/>
      <c r="I13" s="22"/>
      <c r="J13" s="22"/>
      <c r="K13" s="22"/>
      <c r="L13" s="22"/>
      <c r="M13" s="22"/>
      <c r="N13" s="22"/>
      <c r="O13" s="22"/>
      <c r="P13" s="22"/>
      <c r="Q13" s="22"/>
      <c r="R13" s="22"/>
      <c r="S13" s="22"/>
      <c r="T13" s="22"/>
      <c r="U13" s="22"/>
      <c r="V13" s="22"/>
      <c r="W13" s="22"/>
      <c r="X13" s="22"/>
      <c r="Y13" s="22"/>
      <c r="Z13" s="22"/>
    </row>
    <row r="14" customFormat="false" ht="12.75" hidden="false" customHeight="true" outlineLevel="0" collapsed="false">
      <c r="A14" s="22"/>
      <c r="B14" s="22"/>
      <c r="C14" s="22"/>
      <c r="D14" s="22"/>
      <c r="E14" s="22"/>
      <c r="F14" s="22"/>
      <c r="G14" s="22"/>
      <c r="H14" s="22"/>
      <c r="I14" s="22"/>
      <c r="J14" s="22"/>
      <c r="K14" s="22"/>
      <c r="L14" s="22"/>
      <c r="M14" s="22"/>
      <c r="N14" s="22"/>
      <c r="O14" s="22"/>
      <c r="P14" s="22"/>
      <c r="Q14" s="22"/>
      <c r="R14" s="22"/>
      <c r="S14" s="22"/>
      <c r="T14" s="22"/>
      <c r="U14" s="22"/>
      <c r="V14" s="22"/>
      <c r="W14" s="22"/>
      <c r="X14" s="22"/>
      <c r="Y14" s="22"/>
      <c r="Z14" s="22"/>
    </row>
    <row r="15" customFormat="false" ht="12.75" hidden="false" customHeight="true" outlineLevel="0" collapsed="false">
      <c r="A15" s="22"/>
      <c r="B15" s="22"/>
      <c r="C15" s="22"/>
      <c r="D15" s="22"/>
      <c r="E15" s="22"/>
      <c r="F15" s="22"/>
      <c r="G15" s="22"/>
      <c r="H15" s="22"/>
      <c r="I15" s="22"/>
      <c r="J15" s="22"/>
      <c r="K15" s="22"/>
      <c r="L15" s="22"/>
      <c r="M15" s="22"/>
      <c r="N15" s="22"/>
      <c r="O15" s="22"/>
      <c r="P15" s="22"/>
      <c r="Q15" s="22"/>
      <c r="R15" s="22"/>
      <c r="S15" s="22"/>
      <c r="T15" s="22"/>
      <c r="U15" s="22"/>
      <c r="V15" s="22"/>
      <c r="W15" s="22"/>
      <c r="X15" s="22"/>
      <c r="Y15" s="22"/>
      <c r="Z15" s="22"/>
    </row>
    <row r="16" customFormat="false" ht="12.75" hidden="false" customHeight="true" outlineLevel="0" collapsed="false">
      <c r="A16" s="22"/>
      <c r="B16" s="22"/>
      <c r="C16" s="22"/>
      <c r="D16" s="22"/>
      <c r="E16" s="22"/>
      <c r="F16" s="22"/>
      <c r="G16" s="22"/>
      <c r="H16" s="22"/>
      <c r="I16" s="22"/>
      <c r="J16" s="22"/>
      <c r="K16" s="22"/>
      <c r="L16" s="22"/>
      <c r="M16" s="22"/>
      <c r="N16" s="22"/>
      <c r="O16" s="22"/>
      <c r="P16" s="22"/>
      <c r="Q16" s="22"/>
      <c r="R16" s="22"/>
      <c r="S16" s="22"/>
      <c r="T16" s="22"/>
      <c r="U16" s="22"/>
      <c r="V16" s="22"/>
      <c r="W16" s="22"/>
      <c r="X16" s="22"/>
      <c r="Y16" s="22"/>
      <c r="Z16" s="22"/>
    </row>
    <row r="17" customFormat="false" ht="12.75" hidden="false" customHeight="true" outlineLevel="0" collapsed="false">
      <c r="A17" s="22"/>
      <c r="B17" s="22"/>
      <c r="C17" s="22"/>
      <c r="D17" s="22"/>
      <c r="E17" s="22"/>
      <c r="F17" s="22"/>
      <c r="G17" s="22"/>
      <c r="H17" s="22"/>
      <c r="I17" s="22"/>
      <c r="J17" s="22"/>
      <c r="K17" s="22"/>
      <c r="L17" s="22"/>
      <c r="M17" s="22"/>
      <c r="N17" s="22"/>
      <c r="O17" s="22"/>
      <c r="P17" s="22"/>
      <c r="Q17" s="22"/>
      <c r="R17" s="22"/>
      <c r="S17" s="22"/>
      <c r="T17" s="22"/>
      <c r="U17" s="22"/>
      <c r="V17" s="22"/>
      <c r="W17" s="22"/>
      <c r="X17" s="22"/>
      <c r="Y17" s="22"/>
      <c r="Z17" s="22"/>
    </row>
    <row r="18" customFormat="false" ht="12.75" hidden="false" customHeight="true" outlineLevel="0" collapsed="false">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row>
    <row r="19" customFormat="false" ht="12.75" hidden="false" customHeight="true" outlineLevel="0" collapsed="false">
      <c r="A19" s="22"/>
      <c r="B19" s="22"/>
      <c r="C19" s="22"/>
      <c r="D19" s="22"/>
      <c r="E19" s="22"/>
      <c r="F19" s="22"/>
      <c r="G19" s="22"/>
      <c r="H19" s="22"/>
      <c r="I19" s="22"/>
      <c r="J19" s="22"/>
      <c r="K19" s="22"/>
      <c r="L19" s="22"/>
      <c r="M19" s="22"/>
      <c r="N19" s="22"/>
      <c r="O19" s="22"/>
      <c r="P19" s="22"/>
      <c r="Q19" s="22"/>
      <c r="R19" s="22"/>
      <c r="S19" s="22"/>
      <c r="T19" s="22"/>
      <c r="U19" s="22"/>
      <c r="V19" s="22"/>
      <c r="W19" s="22"/>
      <c r="X19" s="22"/>
      <c r="Y19" s="22"/>
      <c r="Z19" s="22"/>
    </row>
    <row r="20" customFormat="false" ht="12.75" hidden="false" customHeight="true" outlineLevel="0" collapsed="false">
      <c r="A20" s="22"/>
      <c r="B20" s="22"/>
      <c r="C20" s="22"/>
      <c r="D20" s="22"/>
      <c r="E20" s="22"/>
      <c r="F20" s="22"/>
      <c r="G20" s="22"/>
      <c r="H20" s="22"/>
      <c r="I20" s="22"/>
      <c r="J20" s="22"/>
      <c r="K20" s="22"/>
      <c r="L20" s="22"/>
      <c r="M20" s="22"/>
      <c r="N20" s="22"/>
      <c r="O20" s="22"/>
      <c r="P20" s="22"/>
      <c r="Q20" s="22"/>
      <c r="R20" s="22"/>
      <c r="S20" s="22"/>
      <c r="T20" s="22"/>
      <c r="U20" s="22"/>
      <c r="V20" s="22"/>
      <c r="W20" s="22"/>
      <c r="X20" s="22"/>
      <c r="Y20" s="22"/>
      <c r="Z20" s="22"/>
    </row>
    <row r="21" customFormat="false" ht="12.75" hidden="false" customHeight="true" outlineLevel="0" collapsed="false">
      <c r="A21" s="22"/>
      <c r="B21" s="22"/>
      <c r="C21" s="22"/>
      <c r="D21" s="22"/>
      <c r="E21" s="22"/>
      <c r="F21" s="22"/>
      <c r="G21" s="22"/>
      <c r="H21" s="22"/>
      <c r="I21" s="22"/>
      <c r="J21" s="22"/>
      <c r="K21" s="22"/>
      <c r="L21" s="22"/>
      <c r="M21" s="22"/>
      <c r="N21" s="22"/>
      <c r="O21" s="22"/>
      <c r="P21" s="22"/>
      <c r="Q21" s="22"/>
      <c r="R21" s="22"/>
      <c r="S21" s="22"/>
      <c r="T21" s="22"/>
      <c r="U21" s="22"/>
      <c r="V21" s="22"/>
      <c r="W21" s="22"/>
      <c r="X21" s="22"/>
      <c r="Y21" s="22"/>
      <c r="Z21" s="22"/>
    </row>
    <row r="22" customFormat="false" ht="12.75" hidden="false" customHeight="true" outlineLevel="0" collapsed="false">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row>
    <row r="23" customFormat="false" ht="12.75" hidden="false" customHeight="true" outlineLevel="0" collapsed="false">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row>
    <row r="24" customFormat="false" ht="12.75" hidden="false" customHeight="true" outlineLevel="0" collapsed="false">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row>
    <row r="25" customFormat="false" ht="12.75" hidden="false" customHeight="true" outlineLevel="0" collapsed="false">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row>
    <row r="26" customFormat="false" ht="12.75" hidden="false" customHeight="true" outlineLevel="0" collapsed="false">
      <c r="A26" s="22"/>
      <c r="B26" s="22"/>
      <c r="C26" s="22"/>
      <c r="D26" s="22"/>
      <c r="E26" s="22"/>
      <c r="F26" s="22"/>
      <c r="G26" s="22"/>
      <c r="H26" s="22"/>
      <c r="I26" s="22"/>
      <c r="J26" s="22"/>
      <c r="K26" s="22"/>
      <c r="L26" s="22"/>
      <c r="M26" s="22"/>
      <c r="N26" s="22"/>
      <c r="O26" s="22"/>
      <c r="P26" s="22"/>
      <c r="Q26" s="22"/>
      <c r="R26" s="22"/>
      <c r="S26" s="22"/>
      <c r="T26" s="22"/>
      <c r="U26" s="22"/>
      <c r="V26" s="22"/>
      <c r="W26" s="22"/>
      <c r="X26" s="22"/>
      <c r="Y26" s="22"/>
      <c r="Z26" s="22"/>
    </row>
    <row r="27" customFormat="false" ht="12.75" hidden="false" customHeight="true" outlineLevel="0" collapsed="false">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row>
    <row r="28" customFormat="false" ht="12.75" hidden="false" customHeight="true" outlineLevel="0" collapsed="false">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row>
    <row r="29" customFormat="false" ht="12.75" hidden="false" customHeight="true" outlineLevel="0" collapsed="false">
      <c r="A29" s="22"/>
      <c r="B29" s="22"/>
      <c r="C29" s="22"/>
      <c r="D29" s="22"/>
      <c r="E29" s="22"/>
      <c r="F29" s="22"/>
      <c r="G29" s="22"/>
      <c r="H29" s="22"/>
      <c r="I29" s="22"/>
      <c r="J29" s="22"/>
      <c r="K29" s="22"/>
      <c r="L29" s="22"/>
      <c r="M29" s="22"/>
      <c r="N29" s="22"/>
      <c r="O29" s="22"/>
      <c r="P29" s="22"/>
      <c r="Q29" s="22"/>
      <c r="R29" s="22"/>
      <c r="S29" s="22"/>
      <c r="T29" s="22"/>
      <c r="U29" s="22"/>
      <c r="V29" s="22"/>
      <c r="W29" s="22"/>
      <c r="X29" s="22"/>
      <c r="Y29" s="22"/>
      <c r="Z29" s="22"/>
    </row>
    <row r="30" customFormat="false" ht="12.75" hidden="false" customHeight="true" outlineLevel="0" collapsed="false">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row>
    <row r="31" customFormat="false" ht="12.75" hidden="false" customHeight="true" outlineLevel="0" collapsed="false">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row>
    <row r="32" customFormat="false" ht="12.75" hidden="false" customHeight="true" outlineLevel="0" collapsed="false">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row>
    <row r="33" customFormat="false" ht="12.75" hidden="false" customHeight="true" outlineLevel="0" collapsed="false">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row>
    <row r="34" customFormat="false" ht="12.75" hidden="false" customHeight="true" outlineLevel="0" collapsed="false">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row>
    <row r="35" customFormat="false" ht="12.75" hidden="false" customHeight="true" outlineLevel="0" collapsed="false">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row>
    <row r="36" customFormat="false" ht="12.75" hidden="false" customHeight="true" outlineLevel="0" collapsed="false">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customFormat="false" ht="12.75" hidden="false" customHeight="true" outlineLevel="0" collapsed="false">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row>
    <row r="38" customFormat="false" ht="12.75"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row>
    <row r="39" customFormat="false" ht="12.75" hidden="false" customHeight="true" outlineLevel="0" collapsed="false">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row>
    <row r="40" customFormat="false" ht="12.75" hidden="false" customHeight="true" outlineLevel="0" collapsed="false">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row>
    <row r="41" customFormat="false" ht="12.75" hidden="false" customHeight="true" outlineLevel="0" collapsed="false">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row>
    <row r="42" customFormat="false" ht="12.75" hidden="false" customHeight="true" outlineLevel="0" collapsed="false">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row>
    <row r="43" customFormat="false" ht="12.75" hidden="false" customHeight="true" outlineLevel="0" collapsed="false">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row>
    <row r="44" customFormat="false" ht="12.75" hidden="false" customHeight="true" outlineLevel="0" collapsed="false">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row>
    <row r="45" customFormat="false" ht="12.75" hidden="false" customHeight="true" outlineLevel="0" collapsed="false">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row>
    <row r="46" customFormat="false" ht="12.75" hidden="false" customHeight="true" outlineLevel="0" collapsed="false">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row>
    <row r="47" customFormat="false" ht="12.75" hidden="false" customHeight="true" outlineLevel="0" collapsed="false">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row>
    <row r="48" customFormat="false" ht="12.75" hidden="false" customHeight="true" outlineLevel="0" collapsed="false">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row>
    <row r="49" customFormat="false" ht="12.75" hidden="false" customHeight="true" outlineLevel="0" collapsed="false">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customFormat="false" ht="12.75" hidden="false" customHeight="true" outlineLevel="0" collapsed="false">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row>
    <row r="51" customFormat="false" ht="12.75" hidden="false" customHeight="true" outlineLevel="0" collapsed="false">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row>
    <row r="52" customFormat="false" ht="12.75" hidden="false" customHeight="true" outlineLevel="0" collapsed="false">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row>
    <row r="53" customFormat="false" ht="12.75" hidden="false" customHeight="true" outlineLevel="0" collapsed="false">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row>
    <row r="54" customFormat="false" ht="12.75" hidden="false" customHeight="true" outlineLevel="0" collapsed="false">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row>
    <row r="55" customFormat="false" ht="12.75" hidden="false" customHeight="true" outlineLevel="0" collapsed="false">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row>
    <row r="56" customFormat="false" ht="12.75" hidden="false" customHeight="true" outlineLevel="0" collapsed="false">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row>
    <row r="57" customFormat="false" ht="12.75" hidden="false" customHeight="true" outlineLevel="0" collapsed="false">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customFormat="false" ht="12.75" hidden="false" customHeight="true" outlineLevel="0" collapsed="false">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row>
    <row r="59" customFormat="false" ht="12.75" hidden="false" customHeight="true" outlineLevel="0" collapsed="false">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row>
    <row r="60" customFormat="false" ht="12.75" hidden="false" customHeight="true" outlineLevel="0" collapsed="false">
      <c r="A60" s="22"/>
      <c r="B60" s="22"/>
      <c r="C60" s="22"/>
      <c r="D60" s="22"/>
      <c r="E60" s="22"/>
      <c r="F60" s="22"/>
      <c r="G60" s="22"/>
      <c r="H60" s="22"/>
      <c r="I60" s="22"/>
      <c r="J60" s="22"/>
      <c r="K60" s="22"/>
      <c r="L60" s="22"/>
      <c r="M60" s="22"/>
      <c r="N60" s="22"/>
      <c r="O60" s="22"/>
      <c r="P60" s="22"/>
      <c r="Q60" s="22"/>
      <c r="R60" s="22"/>
      <c r="S60" s="22"/>
      <c r="T60" s="22"/>
      <c r="U60" s="22"/>
      <c r="V60" s="22"/>
      <c r="W60" s="22"/>
      <c r="X60" s="22"/>
      <c r="Y60" s="22"/>
      <c r="Z60" s="22"/>
    </row>
    <row r="61" customFormat="false" ht="12.75" hidden="false" customHeight="true" outlineLevel="0" collapsed="false">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row>
    <row r="62" customFormat="false" ht="12.75" hidden="false" customHeight="true" outlineLevel="0" collapsed="false">
      <c r="A62" s="22"/>
      <c r="B62" s="22"/>
      <c r="C62" s="22"/>
      <c r="D62" s="22"/>
      <c r="E62" s="22"/>
      <c r="F62" s="22"/>
      <c r="G62" s="22"/>
      <c r="H62" s="22"/>
      <c r="I62" s="22"/>
      <c r="J62" s="22"/>
      <c r="K62" s="22"/>
      <c r="L62" s="22"/>
      <c r="M62" s="22"/>
      <c r="N62" s="22"/>
      <c r="O62" s="22"/>
      <c r="P62" s="22"/>
      <c r="Q62" s="22"/>
      <c r="R62" s="22"/>
      <c r="S62" s="22"/>
      <c r="T62" s="22"/>
      <c r="U62" s="22"/>
      <c r="V62" s="22"/>
      <c r="W62" s="22"/>
      <c r="X62" s="22"/>
      <c r="Y62" s="22"/>
      <c r="Z62" s="22"/>
    </row>
    <row r="63" customFormat="false" ht="12.75" hidden="false" customHeight="true" outlineLevel="0" collapsed="false">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row>
    <row r="64" customFormat="false" ht="12.75" hidden="false" customHeight="true" outlineLevel="0" collapsed="false">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row>
    <row r="65" customFormat="false" ht="12.75" hidden="false" customHeight="true" outlineLevel="0" collapsed="false">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row>
    <row r="66" customFormat="false" ht="12.75" hidden="false" customHeight="true" outlineLevel="0" collapsed="false">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row>
    <row r="67" customFormat="false" ht="12.75" hidden="false" customHeight="true" outlineLevel="0" collapsed="false">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row>
    <row r="68" customFormat="false" ht="12.75" hidden="false" customHeight="true" outlineLevel="0" collapsed="false">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row>
    <row r="69" customFormat="false" ht="12.75" hidden="false" customHeight="true" outlineLevel="0" collapsed="false">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row>
    <row r="70" customFormat="false" ht="12.75" hidden="false" customHeight="true" outlineLevel="0" collapsed="false">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row>
    <row r="71" customFormat="false" ht="12.75" hidden="false" customHeight="true" outlineLevel="0" collapsed="false">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row>
    <row r="72" customFormat="false" ht="12.75" hidden="false" customHeight="true" outlineLevel="0" collapsed="false">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row>
    <row r="73" customFormat="false" ht="12.75" hidden="false" customHeight="true" outlineLevel="0" collapsed="false">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row>
    <row r="74" customFormat="false" ht="12.75" hidden="false" customHeight="true" outlineLevel="0" collapsed="false">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row>
    <row r="75" customFormat="false" ht="12.75" hidden="false" customHeight="true" outlineLevel="0" collapsed="false">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row>
    <row r="76" customFormat="false" ht="12.75" hidden="false" customHeight="true" outlineLevel="0" collapsed="false">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row>
    <row r="77" customFormat="false" ht="12.75" hidden="false" customHeight="true" outlineLevel="0" collapsed="false">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row>
    <row r="78" customFormat="false" ht="12.75" hidden="false" customHeight="true" outlineLevel="0" collapsed="false">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row>
    <row r="79" customFormat="false" ht="12.75" hidden="false" customHeight="true" outlineLevel="0" collapsed="false">
      <c r="A79" s="22"/>
      <c r="B79" s="22"/>
      <c r="C79" s="22"/>
      <c r="D79" s="22"/>
      <c r="E79" s="22"/>
      <c r="F79" s="22"/>
      <c r="G79" s="22"/>
      <c r="H79" s="22"/>
      <c r="I79" s="22"/>
      <c r="J79" s="22"/>
      <c r="K79" s="22"/>
      <c r="L79" s="22"/>
      <c r="M79" s="22"/>
      <c r="N79" s="22"/>
      <c r="O79" s="22"/>
      <c r="P79" s="22"/>
      <c r="Q79" s="22"/>
      <c r="R79" s="22"/>
      <c r="S79" s="22"/>
      <c r="T79" s="22"/>
      <c r="U79" s="22"/>
      <c r="V79" s="22"/>
      <c r="W79" s="22"/>
      <c r="X79" s="22"/>
      <c r="Y79" s="22"/>
      <c r="Z79" s="22"/>
    </row>
    <row r="80" customFormat="false" ht="12.75" hidden="false" customHeight="true" outlineLevel="0" collapsed="false">
      <c r="A80" s="22"/>
      <c r="B80" s="22"/>
      <c r="C80" s="22"/>
      <c r="D80" s="22"/>
      <c r="E80" s="22"/>
      <c r="F80" s="22"/>
      <c r="G80" s="22"/>
      <c r="H80" s="22"/>
      <c r="I80" s="22"/>
      <c r="J80" s="22"/>
      <c r="K80" s="22"/>
      <c r="L80" s="22"/>
      <c r="M80" s="22"/>
      <c r="N80" s="22"/>
      <c r="O80" s="22"/>
      <c r="P80" s="22"/>
      <c r="Q80" s="22"/>
      <c r="R80" s="22"/>
      <c r="S80" s="22"/>
      <c r="T80" s="22"/>
      <c r="U80" s="22"/>
      <c r="V80" s="22"/>
      <c r="W80" s="22"/>
      <c r="X80" s="22"/>
      <c r="Y80" s="22"/>
      <c r="Z80" s="22"/>
    </row>
    <row r="81" customFormat="false" ht="12.75" hidden="false" customHeight="true" outlineLevel="0" collapsed="false">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row>
    <row r="82" customFormat="false" ht="12.75" hidden="false" customHeight="true" outlineLevel="0" collapsed="false">
      <c r="A82" s="22"/>
      <c r="B82" s="22"/>
      <c r="C82" s="22"/>
      <c r="D82" s="22"/>
      <c r="E82" s="22"/>
      <c r="F82" s="22"/>
      <c r="G82" s="22"/>
      <c r="H82" s="22"/>
      <c r="I82" s="22"/>
      <c r="J82" s="22"/>
      <c r="K82" s="22"/>
      <c r="L82" s="22"/>
      <c r="M82" s="22"/>
      <c r="N82" s="22"/>
      <c r="O82" s="22"/>
      <c r="P82" s="22"/>
      <c r="Q82" s="22"/>
      <c r="R82" s="22"/>
      <c r="S82" s="22"/>
      <c r="T82" s="22"/>
      <c r="U82" s="22"/>
      <c r="V82" s="22"/>
      <c r="W82" s="22"/>
      <c r="X82" s="22"/>
      <c r="Y82" s="22"/>
      <c r="Z82" s="22"/>
    </row>
    <row r="83" customFormat="false" ht="12.75" hidden="false" customHeight="true" outlineLevel="0" collapsed="false">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row>
    <row r="84" customFormat="false" ht="12.75" hidden="false" customHeight="true" outlineLevel="0" collapsed="false">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row>
    <row r="85" customFormat="false" ht="12.75" hidden="false" customHeight="true" outlineLevel="0" collapsed="false">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row>
    <row r="86" customFormat="false" ht="12.75" hidden="false" customHeight="true" outlineLevel="0" collapsed="false">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row>
    <row r="87" customFormat="false" ht="12.75" hidden="false" customHeight="true" outlineLevel="0" collapsed="false">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row>
    <row r="88" customFormat="false" ht="12.75" hidden="false" customHeight="true" outlineLevel="0" collapsed="false">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row>
    <row r="89" customFormat="false" ht="12.75" hidden="false" customHeight="true" outlineLevel="0" collapsed="false">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row>
    <row r="90" customFormat="false" ht="12.75" hidden="false" customHeight="true" outlineLevel="0" collapsed="false">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row>
    <row r="91" customFormat="false" ht="12.75" hidden="false" customHeight="true" outlineLevel="0" collapsed="false">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row>
    <row r="92" customFormat="false" ht="12.75" hidden="false" customHeight="true" outlineLevel="0" collapsed="false">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row>
    <row r="93" customFormat="false" ht="12.75" hidden="false" customHeight="true" outlineLevel="0" collapsed="false">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row>
    <row r="94" customFormat="false" ht="12.75" hidden="false" customHeight="true" outlineLevel="0" collapsed="false">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row>
    <row r="95" customFormat="false" ht="12.75" hidden="false" customHeight="true" outlineLevel="0" collapsed="false">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row>
    <row r="96" customFormat="false" ht="12.75" hidden="false" customHeight="true" outlineLevel="0" collapsed="false">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row>
    <row r="97" customFormat="false" ht="12.75" hidden="false" customHeight="true" outlineLevel="0" collapsed="false">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row>
    <row r="98" customFormat="false" ht="12.75" hidden="false" customHeight="true" outlineLevel="0" collapsed="false">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row>
    <row r="99" customFormat="false" ht="12.75" hidden="false" customHeight="true" outlineLevel="0" collapsed="false">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row>
    <row r="100" customFormat="false" ht="12.75" hidden="false" customHeight="true" outlineLevel="0" collapsed="false">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3" min="1" style="1" width="36"/>
    <col collapsed="false" customWidth="true" hidden="false" outlineLevel="0" max="12" min="4" style="2" width="10"/>
  </cols>
  <sheetData>
    <row r="1" customFormat="false" ht="12.75" hidden="false" customHeight="true" outlineLevel="0" collapsed="false">
      <c r="A1" s="21" t="s">
        <v>241</v>
      </c>
      <c r="B1" s="21" t="s">
        <v>242</v>
      </c>
      <c r="C1" s="21" t="s">
        <v>979</v>
      </c>
      <c r="D1" s="21"/>
      <c r="E1" s="21"/>
      <c r="F1" s="21"/>
      <c r="G1" s="21"/>
      <c r="H1" s="21"/>
      <c r="I1" s="21"/>
      <c r="J1" s="21"/>
      <c r="K1" s="21"/>
      <c r="L1" s="21"/>
      <c r="M1" s="21"/>
      <c r="N1" s="21"/>
      <c r="O1" s="21"/>
      <c r="P1" s="21"/>
      <c r="Q1" s="21"/>
      <c r="R1" s="21"/>
      <c r="S1" s="21"/>
      <c r="T1" s="21"/>
      <c r="U1" s="21"/>
      <c r="V1" s="21"/>
      <c r="W1" s="21"/>
      <c r="X1" s="21"/>
      <c r="Y1" s="21"/>
      <c r="Z1" s="21"/>
    </row>
    <row r="2" customFormat="false" ht="26.25" hidden="false" customHeight="true" outlineLevel="0" collapsed="false">
      <c r="A2" s="22" t="s">
        <v>2224</v>
      </c>
      <c r="B2" s="22" t="s">
        <v>323</v>
      </c>
      <c r="C2" s="22" t="s">
        <v>3143</v>
      </c>
      <c r="D2" s="22"/>
      <c r="E2" s="22"/>
      <c r="F2" s="22"/>
      <c r="G2" s="22"/>
      <c r="H2" s="22"/>
      <c r="I2" s="22"/>
      <c r="J2" s="22"/>
      <c r="K2" s="22"/>
      <c r="L2" s="22"/>
      <c r="M2" s="22"/>
      <c r="N2" s="22"/>
      <c r="O2" s="22"/>
      <c r="P2" s="22"/>
      <c r="Q2" s="22"/>
      <c r="R2" s="22"/>
      <c r="S2" s="22"/>
      <c r="T2" s="22"/>
      <c r="U2" s="22"/>
      <c r="V2" s="22"/>
      <c r="W2" s="22"/>
      <c r="X2" s="22"/>
      <c r="Y2" s="22"/>
      <c r="Z2" s="22"/>
    </row>
    <row r="3" customFormat="false" ht="12.75" hidden="false" customHeight="true" outlineLevel="0" collapsed="false">
      <c r="A3" s="22" t="s">
        <v>3144</v>
      </c>
      <c r="B3" s="22" t="s">
        <v>3145</v>
      </c>
      <c r="C3" s="22" t="s">
        <v>3146</v>
      </c>
      <c r="D3" s="22"/>
      <c r="E3" s="22"/>
      <c r="F3" s="22"/>
      <c r="G3" s="22"/>
      <c r="H3" s="22"/>
      <c r="I3" s="22"/>
      <c r="J3" s="22"/>
      <c r="K3" s="22"/>
      <c r="L3" s="22"/>
      <c r="M3" s="22"/>
      <c r="N3" s="22"/>
      <c r="O3" s="22"/>
      <c r="P3" s="22"/>
      <c r="Q3" s="22"/>
      <c r="R3" s="22"/>
      <c r="S3" s="22"/>
      <c r="T3" s="22"/>
      <c r="U3" s="22"/>
      <c r="V3" s="22"/>
      <c r="W3" s="22"/>
      <c r="X3" s="22"/>
      <c r="Y3" s="22"/>
      <c r="Z3" s="22"/>
    </row>
    <row r="4" customFormat="false" ht="26.25" hidden="false" customHeight="true" outlineLevel="0" collapsed="false">
      <c r="A4" s="22" t="s">
        <v>3147</v>
      </c>
      <c r="B4" s="22" t="s">
        <v>3148</v>
      </c>
      <c r="C4" s="22" t="s">
        <v>3149</v>
      </c>
      <c r="D4" s="22"/>
      <c r="E4" s="22"/>
      <c r="F4" s="22"/>
      <c r="G4" s="22"/>
      <c r="H4" s="22"/>
      <c r="I4" s="22"/>
      <c r="J4" s="22"/>
      <c r="K4" s="22"/>
      <c r="L4" s="22"/>
      <c r="M4" s="22"/>
      <c r="N4" s="22"/>
      <c r="O4" s="22"/>
      <c r="P4" s="22"/>
      <c r="Q4" s="22"/>
      <c r="R4" s="22"/>
      <c r="S4" s="22"/>
      <c r="T4" s="22"/>
      <c r="U4" s="22"/>
      <c r="V4" s="22"/>
      <c r="W4" s="22"/>
      <c r="X4" s="22"/>
      <c r="Y4" s="22"/>
      <c r="Z4" s="22"/>
    </row>
    <row r="5" customFormat="false" ht="12.75" hidden="false" customHeight="true" outlineLevel="0" collapsed="false">
      <c r="A5" s="22" t="s">
        <v>3150</v>
      </c>
      <c r="B5" s="22" t="s">
        <v>2842</v>
      </c>
      <c r="C5" s="22" t="s">
        <v>3151</v>
      </c>
      <c r="D5" s="22"/>
      <c r="E5" s="22"/>
      <c r="F5" s="22"/>
      <c r="G5" s="22"/>
      <c r="H5" s="22"/>
      <c r="I5" s="22"/>
      <c r="J5" s="22"/>
      <c r="K5" s="22"/>
      <c r="L5" s="22"/>
      <c r="M5" s="22"/>
      <c r="N5" s="22"/>
      <c r="O5" s="22"/>
      <c r="P5" s="22"/>
      <c r="Q5" s="22"/>
      <c r="R5" s="22"/>
      <c r="S5" s="22"/>
      <c r="T5" s="22"/>
      <c r="U5" s="22"/>
      <c r="V5" s="22"/>
      <c r="W5" s="22"/>
      <c r="X5" s="22"/>
      <c r="Y5" s="22"/>
      <c r="Z5" s="22"/>
    </row>
    <row r="6" customFormat="false" ht="12.75" hidden="false" customHeight="true" outlineLevel="0" collapsed="false">
      <c r="A6" s="22" t="s">
        <v>3152</v>
      </c>
      <c r="B6" s="22" t="s">
        <v>3114</v>
      </c>
      <c r="C6" s="22" t="s">
        <v>3153</v>
      </c>
      <c r="D6" s="22"/>
      <c r="E6" s="22"/>
      <c r="F6" s="22"/>
      <c r="G6" s="22"/>
      <c r="H6" s="22"/>
      <c r="I6" s="22"/>
      <c r="J6" s="22"/>
      <c r="K6" s="22"/>
      <c r="L6" s="22"/>
      <c r="M6" s="22"/>
      <c r="N6" s="22"/>
      <c r="O6" s="22"/>
      <c r="P6" s="22"/>
      <c r="Q6" s="22"/>
      <c r="R6" s="22"/>
      <c r="S6" s="22"/>
      <c r="T6" s="22"/>
      <c r="U6" s="22"/>
      <c r="V6" s="22"/>
      <c r="W6" s="22"/>
      <c r="X6" s="22"/>
      <c r="Y6" s="22"/>
      <c r="Z6" s="22"/>
    </row>
    <row r="7" customFormat="false" ht="26.25" hidden="false" customHeight="true" outlineLevel="0" collapsed="false">
      <c r="A7" s="22" t="s">
        <v>3154</v>
      </c>
      <c r="B7" s="22" t="s">
        <v>3155</v>
      </c>
      <c r="C7" s="22" t="s">
        <v>3156</v>
      </c>
      <c r="D7" s="22"/>
      <c r="E7" s="22"/>
      <c r="F7" s="22"/>
      <c r="G7" s="22"/>
      <c r="H7" s="22"/>
      <c r="I7" s="22"/>
      <c r="J7" s="22"/>
      <c r="K7" s="22"/>
      <c r="L7" s="22"/>
      <c r="M7" s="22"/>
      <c r="N7" s="22"/>
      <c r="O7" s="22"/>
      <c r="P7" s="22"/>
      <c r="Q7" s="22"/>
      <c r="R7" s="22"/>
      <c r="S7" s="22"/>
      <c r="T7" s="22"/>
      <c r="U7" s="22"/>
      <c r="V7" s="22"/>
      <c r="W7" s="22"/>
      <c r="X7" s="22"/>
      <c r="Y7" s="22"/>
      <c r="Z7" s="22"/>
    </row>
    <row r="8" customFormat="false" ht="12.75" hidden="false" customHeight="true" outlineLevel="0" collapsed="false">
      <c r="A8" s="22"/>
      <c r="B8" s="22"/>
      <c r="C8" s="22"/>
      <c r="D8" s="22"/>
      <c r="E8" s="22"/>
      <c r="F8" s="22"/>
      <c r="G8" s="22"/>
      <c r="H8" s="22"/>
      <c r="I8" s="22"/>
      <c r="J8" s="22"/>
      <c r="K8" s="22"/>
      <c r="L8" s="22"/>
      <c r="M8" s="22"/>
      <c r="N8" s="22"/>
      <c r="O8" s="22"/>
      <c r="P8" s="22"/>
      <c r="Q8" s="22"/>
      <c r="R8" s="22"/>
      <c r="S8" s="22"/>
      <c r="T8" s="22"/>
      <c r="U8" s="22"/>
      <c r="V8" s="22"/>
      <c r="W8" s="22"/>
      <c r="X8" s="22"/>
      <c r="Y8" s="22"/>
      <c r="Z8" s="22"/>
    </row>
    <row r="9" customFormat="false" ht="12.75" hidden="false" customHeight="true" outlineLevel="0" collapsed="false">
      <c r="A9" s="22"/>
      <c r="B9" s="22"/>
      <c r="C9" s="22"/>
      <c r="D9" s="22"/>
      <c r="E9" s="22"/>
      <c r="F9" s="22"/>
      <c r="G9" s="22"/>
      <c r="H9" s="22"/>
      <c r="I9" s="22"/>
      <c r="J9" s="22"/>
      <c r="K9" s="22"/>
      <c r="L9" s="22"/>
      <c r="M9" s="22"/>
      <c r="N9" s="22"/>
      <c r="O9" s="22"/>
      <c r="P9" s="22"/>
      <c r="Q9" s="22"/>
      <c r="R9" s="22"/>
      <c r="S9" s="22"/>
      <c r="T9" s="22"/>
      <c r="U9" s="22"/>
      <c r="V9" s="22"/>
      <c r="W9" s="22"/>
      <c r="X9" s="22"/>
      <c r="Y9" s="22"/>
      <c r="Z9" s="22"/>
    </row>
    <row r="10" customFormat="false" ht="12.75" hidden="false" customHeight="true" outlineLevel="0" collapsed="false">
      <c r="A10" s="22"/>
      <c r="B10" s="22"/>
      <c r="C10" s="22"/>
      <c r="D10" s="22"/>
      <c r="E10" s="22"/>
      <c r="F10" s="22"/>
      <c r="G10" s="22"/>
      <c r="H10" s="22"/>
      <c r="I10" s="22"/>
      <c r="J10" s="22"/>
      <c r="K10" s="22"/>
      <c r="L10" s="22"/>
      <c r="M10" s="22"/>
      <c r="N10" s="22"/>
      <c r="O10" s="22"/>
      <c r="P10" s="22"/>
      <c r="Q10" s="22"/>
      <c r="R10" s="22"/>
      <c r="S10" s="22"/>
      <c r="T10" s="22"/>
      <c r="U10" s="22"/>
      <c r="V10" s="22"/>
      <c r="W10" s="22"/>
      <c r="X10" s="22"/>
      <c r="Y10" s="22"/>
      <c r="Z10" s="22"/>
    </row>
    <row r="11" customFormat="false" ht="12.75" hidden="false" customHeight="true" outlineLevel="0" collapsed="false">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row>
    <row r="12" customFormat="false" ht="12.75" hidden="false" customHeight="true" outlineLevel="0" collapsed="false">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row>
    <row r="13" customFormat="false" ht="12.75" hidden="false" customHeight="true" outlineLevel="0" collapsed="false">
      <c r="A13" s="22"/>
      <c r="B13" s="22"/>
      <c r="C13" s="22"/>
      <c r="D13" s="22"/>
      <c r="E13" s="22"/>
      <c r="F13" s="22"/>
      <c r="G13" s="22"/>
      <c r="H13" s="22"/>
      <c r="I13" s="22"/>
      <c r="J13" s="22"/>
      <c r="K13" s="22"/>
      <c r="L13" s="22"/>
      <c r="M13" s="22"/>
      <c r="N13" s="22"/>
      <c r="O13" s="22"/>
      <c r="P13" s="22"/>
      <c r="Q13" s="22"/>
      <c r="R13" s="22"/>
      <c r="S13" s="22"/>
      <c r="T13" s="22"/>
      <c r="U13" s="22"/>
      <c r="V13" s="22"/>
      <c r="W13" s="22"/>
      <c r="X13" s="22"/>
      <c r="Y13" s="22"/>
      <c r="Z13" s="22"/>
    </row>
    <row r="14" customFormat="false" ht="12.75" hidden="false" customHeight="true" outlineLevel="0" collapsed="false">
      <c r="A14" s="22"/>
      <c r="B14" s="22"/>
      <c r="C14" s="22"/>
      <c r="D14" s="22"/>
      <c r="E14" s="22"/>
      <c r="F14" s="22"/>
      <c r="G14" s="22"/>
      <c r="H14" s="22"/>
      <c r="I14" s="22"/>
      <c r="J14" s="22"/>
      <c r="K14" s="22"/>
      <c r="L14" s="22"/>
      <c r="M14" s="22"/>
      <c r="N14" s="22"/>
      <c r="O14" s="22"/>
      <c r="P14" s="22"/>
      <c r="Q14" s="22"/>
      <c r="R14" s="22"/>
      <c r="S14" s="22"/>
      <c r="T14" s="22"/>
      <c r="U14" s="22"/>
      <c r="V14" s="22"/>
      <c r="W14" s="22"/>
      <c r="X14" s="22"/>
      <c r="Y14" s="22"/>
      <c r="Z14" s="22"/>
    </row>
    <row r="15" customFormat="false" ht="12.75" hidden="false" customHeight="true" outlineLevel="0" collapsed="false">
      <c r="A15" s="22"/>
      <c r="B15" s="22"/>
      <c r="C15" s="22"/>
      <c r="D15" s="22"/>
      <c r="E15" s="22"/>
      <c r="F15" s="22"/>
      <c r="G15" s="22"/>
      <c r="H15" s="22"/>
      <c r="I15" s="22"/>
      <c r="J15" s="22"/>
      <c r="K15" s="22"/>
      <c r="L15" s="22"/>
      <c r="M15" s="22"/>
      <c r="N15" s="22"/>
      <c r="O15" s="22"/>
      <c r="P15" s="22"/>
      <c r="Q15" s="22"/>
      <c r="R15" s="22"/>
      <c r="S15" s="22"/>
      <c r="T15" s="22"/>
      <c r="U15" s="22"/>
      <c r="V15" s="22"/>
      <c r="W15" s="22"/>
      <c r="X15" s="22"/>
      <c r="Y15" s="22"/>
      <c r="Z15" s="22"/>
    </row>
    <row r="16" customFormat="false" ht="12.75" hidden="false" customHeight="true" outlineLevel="0" collapsed="false">
      <c r="A16" s="22"/>
      <c r="B16" s="22"/>
      <c r="C16" s="22"/>
      <c r="D16" s="22"/>
      <c r="E16" s="22"/>
      <c r="F16" s="22"/>
      <c r="G16" s="22"/>
      <c r="H16" s="22"/>
      <c r="I16" s="22"/>
      <c r="J16" s="22"/>
      <c r="K16" s="22"/>
      <c r="L16" s="22"/>
      <c r="M16" s="22"/>
      <c r="N16" s="22"/>
      <c r="O16" s="22"/>
      <c r="P16" s="22"/>
      <c r="Q16" s="22"/>
      <c r="R16" s="22"/>
      <c r="S16" s="22"/>
      <c r="T16" s="22"/>
      <c r="U16" s="22"/>
      <c r="V16" s="22"/>
      <c r="W16" s="22"/>
      <c r="X16" s="22"/>
      <c r="Y16" s="22"/>
      <c r="Z16" s="22"/>
    </row>
    <row r="17" customFormat="false" ht="12.75" hidden="false" customHeight="true" outlineLevel="0" collapsed="false">
      <c r="A17" s="22"/>
      <c r="B17" s="22"/>
      <c r="C17" s="22"/>
      <c r="D17" s="22"/>
      <c r="E17" s="22"/>
      <c r="F17" s="22"/>
      <c r="G17" s="22"/>
      <c r="H17" s="22"/>
      <c r="I17" s="22"/>
      <c r="J17" s="22"/>
      <c r="K17" s="22"/>
      <c r="L17" s="22"/>
      <c r="M17" s="22"/>
      <c r="N17" s="22"/>
      <c r="O17" s="22"/>
      <c r="P17" s="22"/>
      <c r="Q17" s="22"/>
      <c r="R17" s="22"/>
      <c r="S17" s="22"/>
      <c r="T17" s="22"/>
      <c r="U17" s="22"/>
      <c r="V17" s="22"/>
      <c r="W17" s="22"/>
      <c r="X17" s="22"/>
      <c r="Y17" s="22"/>
      <c r="Z17" s="22"/>
    </row>
    <row r="18" customFormat="false" ht="12.75" hidden="false" customHeight="true" outlineLevel="0" collapsed="false">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row>
    <row r="19" customFormat="false" ht="12.75" hidden="false" customHeight="true" outlineLevel="0" collapsed="false">
      <c r="A19" s="22"/>
      <c r="B19" s="22"/>
      <c r="C19" s="22"/>
      <c r="D19" s="22"/>
      <c r="E19" s="22"/>
      <c r="F19" s="22"/>
      <c r="G19" s="22"/>
      <c r="H19" s="22"/>
      <c r="I19" s="22"/>
      <c r="J19" s="22"/>
      <c r="K19" s="22"/>
      <c r="L19" s="22"/>
      <c r="M19" s="22"/>
      <c r="N19" s="22"/>
      <c r="O19" s="22"/>
      <c r="P19" s="22"/>
      <c r="Q19" s="22"/>
      <c r="R19" s="22"/>
      <c r="S19" s="22"/>
      <c r="T19" s="22"/>
      <c r="U19" s="22"/>
      <c r="V19" s="22"/>
      <c r="W19" s="22"/>
      <c r="X19" s="22"/>
      <c r="Y19" s="22"/>
      <c r="Z19" s="22"/>
    </row>
    <row r="20" customFormat="false" ht="12.75" hidden="false" customHeight="true" outlineLevel="0" collapsed="false">
      <c r="A20" s="22"/>
      <c r="B20" s="22"/>
      <c r="C20" s="22"/>
      <c r="D20" s="22"/>
      <c r="E20" s="22"/>
      <c r="F20" s="22"/>
      <c r="G20" s="22"/>
      <c r="H20" s="22"/>
      <c r="I20" s="22"/>
      <c r="J20" s="22"/>
      <c r="K20" s="22"/>
      <c r="L20" s="22"/>
      <c r="M20" s="22"/>
      <c r="N20" s="22"/>
      <c r="O20" s="22"/>
      <c r="P20" s="22"/>
      <c r="Q20" s="22"/>
      <c r="R20" s="22"/>
      <c r="S20" s="22"/>
      <c r="T20" s="22"/>
      <c r="U20" s="22"/>
      <c r="V20" s="22"/>
      <c r="W20" s="22"/>
      <c r="X20" s="22"/>
      <c r="Y20" s="22"/>
      <c r="Z20" s="22"/>
    </row>
    <row r="21" customFormat="false" ht="12.75" hidden="false" customHeight="true" outlineLevel="0" collapsed="false">
      <c r="A21" s="22"/>
      <c r="B21" s="22"/>
      <c r="C21" s="22"/>
      <c r="D21" s="22"/>
      <c r="E21" s="22"/>
      <c r="F21" s="22"/>
      <c r="G21" s="22"/>
      <c r="H21" s="22"/>
      <c r="I21" s="22"/>
      <c r="J21" s="22"/>
      <c r="K21" s="22"/>
      <c r="L21" s="22"/>
      <c r="M21" s="22"/>
      <c r="N21" s="22"/>
      <c r="O21" s="22"/>
      <c r="P21" s="22"/>
      <c r="Q21" s="22"/>
      <c r="R21" s="22"/>
      <c r="S21" s="22"/>
      <c r="T21" s="22"/>
      <c r="U21" s="22"/>
      <c r="V21" s="22"/>
      <c r="W21" s="22"/>
      <c r="X21" s="22"/>
      <c r="Y21" s="22"/>
      <c r="Z21" s="22"/>
    </row>
    <row r="22" customFormat="false" ht="12.75" hidden="false" customHeight="true" outlineLevel="0" collapsed="false">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row>
    <row r="23" customFormat="false" ht="12.75" hidden="false" customHeight="true" outlineLevel="0" collapsed="false">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row>
    <row r="24" customFormat="false" ht="12.75" hidden="false" customHeight="true" outlineLevel="0" collapsed="false">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row>
    <row r="25" customFormat="false" ht="12.75" hidden="false" customHeight="true" outlineLevel="0" collapsed="false">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row>
    <row r="26" customFormat="false" ht="12.75" hidden="false" customHeight="true" outlineLevel="0" collapsed="false">
      <c r="A26" s="22"/>
      <c r="B26" s="22"/>
      <c r="C26" s="22"/>
      <c r="D26" s="22"/>
      <c r="E26" s="22"/>
      <c r="F26" s="22"/>
      <c r="G26" s="22"/>
      <c r="H26" s="22"/>
      <c r="I26" s="22"/>
      <c r="J26" s="22"/>
      <c r="K26" s="22"/>
      <c r="L26" s="22"/>
      <c r="M26" s="22"/>
      <c r="N26" s="22"/>
      <c r="O26" s="22"/>
      <c r="P26" s="22"/>
      <c r="Q26" s="22"/>
      <c r="R26" s="22"/>
      <c r="S26" s="22"/>
      <c r="T26" s="22"/>
      <c r="U26" s="22"/>
      <c r="V26" s="22"/>
      <c r="W26" s="22"/>
      <c r="X26" s="22"/>
      <c r="Y26" s="22"/>
      <c r="Z26" s="22"/>
    </row>
    <row r="27" customFormat="false" ht="12.75" hidden="false" customHeight="true" outlineLevel="0" collapsed="false">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row>
    <row r="28" customFormat="false" ht="12.75" hidden="false" customHeight="true" outlineLevel="0" collapsed="false">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row>
    <row r="29" customFormat="false" ht="12.75" hidden="false" customHeight="true" outlineLevel="0" collapsed="false">
      <c r="A29" s="22"/>
      <c r="B29" s="22"/>
      <c r="C29" s="22"/>
      <c r="D29" s="22"/>
      <c r="E29" s="22"/>
      <c r="F29" s="22"/>
      <c r="G29" s="22"/>
      <c r="H29" s="22"/>
      <c r="I29" s="22"/>
      <c r="J29" s="22"/>
      <c r="K29" s="22"/>
      <c r="L29" s="22"/>
      <c r="M29" s="22"/>
      <c r="N29" s="22"/>
      <c r="O29" s="22"/>
      <c r="P29" s="22"/>
      <c r="Q29" s="22"/>
      <c r="R29" s="22"/>
      <c r="S29" s="22"/>
      <c r="T29" s="22"/>
      <c r="U29" s="22"/>
      <c r="V29" s="22"/>
      <c r="W29" s="22"/>
      <c r="X29" s="22"/>
      <c r="Y29" s="22"/>
      <c r="Z29" s="22"/>
    </row>
    <row r="30" customFormat="false" ht="12.75" hidden="false" customHeight="true" outlineLevel="0" collapsed="false">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row>
    <row r="31" customFormat="false" ht="12.75" hidden="false" customHeight="true" outlineLevel="0" collapsed="false">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row>
    <row r="32" customFormat="false" ht="12.75" hidden="false" customHeight="true" outlineLevel="0" collapsed="false">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row>
    <row r="33" customFormat="false" ht="12.75" hidden="false" customHeight="true" outlineLevel="0" collapsed="false">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row>
    <row r="34" customFormat="false" ht="12.75" hidden="false" customHeight="true" outlineLevel="0" collapsed="false">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row>
    <row r="35" customFormat="false" ht="12.75" hidden="false" customHeight="true" outlineLevel="0" collapsed="false">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row>
    <row r="36" customFormat="false" ht="12.75" hidden="false" customHeight="true" outlineLevel="0" collapsed="false">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customFormat="false" ht="12.75" hidden="false" customHeight="true" outlineLevel="0" collapsed="false">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row>
    <row r="38" customFormat="false" ht="12.75"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row>
    <row r="39" customFormat="false" ht="12.75" hidden="false" customHeight="true" outlineLevel="0" collapsed="false">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row>
    <row r="40" customFormat="false" ht="12.75" hidden="false" customHeight="true" outlineLevel="0" collapsed="false">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row>
    <row r="41" customFormat="false" ht="12.75" hidden="false" customHeight="true" outlineLevel="0" collapsed="false">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row>
    <row r="42" customFormat="false" ht="12.75" hidden="false" customHeight="true" outlineLevel="0" collapsed="false">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row>
    <row r="43" customFormat="false" ht="12.75" hidden="false" customHeight="true" outlineLevel="0" collapsed="false">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row>
    <row r="44" customFormat="false" ht="12.75" hidden="false" customHeight="true" outlineLevel="0" collapsed="false">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row>
    <row r="45" customFormat="false" ht="12.75" hidden="false" customHeight="true" outlineLevel="0" collapsed="false">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row>
    <row r="46" customFormat="false" ht="12.75" hidden="false" customHeight="true" outlineLevel="0" collapsed="false">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row>
    <row r="47" customFormat="false" ht="12.75" hidden="false" customHeight="true" outlineLevel="0" collapsed="false">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row>
    <row r="48" customFormat="false" ht="12.75" hidden="false" customHeight="true" outlineLevel="0" collapsed="false">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row>
    <row r="49" customFormat="false" ht="12.75" hidden="false" customHeight="true" outlineLevel="0" collapsed="false">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customFormat="false" ht="12.75" hidden="false" customHeight="true" outlineLevel="0" collapsed="false">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row>
    <row r="51" customFormat="false" ht="12.75" hidden="false" customHeight="true" outlineLevel="0" collapsed="false">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row>
    <row r="52" customFormat="false" ht="12.75" hidden="false" customHeight="true" outlineLevel="0" collapsed="false">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row>
    <row r="53" customFormat="false" ht="12.75" hidden="false" customHeight="true" outlineLevel="0" collapsed="false">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row>
    <row r="54" customFormat="false" ht="12.75" hidden="false" customHeight="true" outlineLevel="0" collapsed="false">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row>
    <row r="55" customFormat="false" ht="12.75" hidden="false" customHeight="true" outlineLevel="0" collapsed="false">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row>
    <row r="56" customFormat="false" ht="12.75" hidden="false" customHeight="true" outlineLevel="0" collapsed="false">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row>
    <row r="57" customFormat="false" ht="12.75" hidden="false" customHeight="true" outlineLevel="0" collapsed="false">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customFormat="false" ht="12.75" hidden="false" customHeight="true" outlineLevel="0" collapsed="false">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row>
    <row r="59" customFormat="false" ht="12.75" hidden="false" customHeight="true" outlineLevel="0" collapsed="false">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row>
    <row r="60" customFormat="false" ht="12.75" hidden="false" customHeight="true" outlineLevel="0" collapsed="false">
      <c r="A60" s="22"/>
      <c r="B60" s="22"/>
      <c r="C60" s="22"/>
      <c r="D60" s="22"/>
      <c r="E60" s="22"/>
      <c r="F60" s="22"/>
      <c r="G60" s="22"/>
      <c r="H60" s="22"/>
      <c r="I60" s="22"/>
      <c r="J60" s="22"/>
      <c r="K60" s="22"/>
      <c r="L60" s="22"/>
      <c r="M60" s="22"/>
      <c r="N60" s="22"/>
      <c r="O60" s="22"/>
      <c r="P60" s="22"/>
      <c r="Q60" s="22"/>
      <c r="R60" s="22"/>
      <c r="S60" s="22"/>
      <c r="T60" s="22"/>
      <c r="U60" s="22"/>
      <c r="V60" s="22"/>
      <c r="W60" s="22"/>
      <c r="X60" s="22"/>
      <c r="Y60" s="22"/>
      <c r="Z60" s="22"/>
    </row>
    <row r="61" customFormat="false" ht="12.75" hidden="false" customHeight="true" outlineLevel="0" collapsed="false">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row>
    <row r="62" customFormat="false" ht="12.75" hidden="false" customHeight="true" outlineLevel="0" collapsed="false">
      <c r="A62" s="22"/>
      <c r="B62" s="22"/>
      <c r="C62" s="22"/>
      <c r="D62" s="22"/>
      <c r="E62" s="22"/>
      <c r="F62" s="22"/>
      <c r="G62" s="22"/>
      <c r="H62" s="22"/>
      <c r="I62" s="22"/>
      <c r="J62" s="22"/>
      <c r="K62" s="22"/>
      <c r="L62" s="22"/>
      <c r="M62" s="22"/>
      <c r="N62" s="22"/>
      <c r="O62" s="22"/>
      <c r="P62" s="22"/>
      <c r="Q62" s="22"/>
      <c r="R62" s="22"/>
      <c r="S62" s="22"/>
      <c r="T62" s="22"/>
      <c r="U62" s="22"/>
      <c r="V62" s="22"/>
      <c r="W62" s="22"/>
      <c r="X62" s="22"/>
      <c r="Y62" s="22"/>
      <c r="Z62" s="22"/>
    </row>
    <row r="63" customFormat="false" ht="12.75" hidden="false" customHeight="true" outlineLevel="0" collapsed="false">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row>
    <row r="64" customFormat="false" ht="12.75" hidden="false" customHeight="true" outlineLevel="0" collapsed="false">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row>
    <row r="65" customFormat="false" ht="12.75" hidden="false" customHeight="true" outlineLevel="0" collapsed="false">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row>
    <row r="66" customFormat="false" ht="12.75" hidden="false" customHeight="true" outlineLevel="0" collapsed="false">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row>
    <row r="67" customFormat="false" ht="12.75" hidden="false" customHeight="true" outlineLevel="0" collapsed="false">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row>
    <row r="68" customFormat="false" ht="12.75" hidden="false" customHeight="true" outlineLevel="0" collapsed="false">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row>
    <row r="69" customFormat="false" ht="12.75" hidden="false" customHeight="true" outlineLevel="0" collapsed="false">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row>
    <row r="70" customFormat="false" ht="12.75" hidden="false" customHeight="true" outlineLevel="0" collapsed="false">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row>
    <row r="71" customFormat="false" ht="12.75" hidden="false" customHeight="true" outlineLevel="0" collapsed="false">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row>
    <row r="72" customFormat="false" ht="12.75" hidden="false" customHeight="true" outlineLevel="0" collapsed="false">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row>
    <row r="73" customFormat="false" ht="12.75" hidden="false" customHeight="true" outlineLevel="0" collapsed="false">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row>
    <row r="74" customFormat="false" ht="12.75" hidden="false" customHeight="true" outlineLevel="0" collapsed="false">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row>
    <row r="75" customFormat="false" ht="12.75" hidden="false" customHeight="true" outlineLevel="0" collapsed="false">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row>
    <row r="76" customFormat="false" ht="12.75" hidden="false" customHeight="true" outlineLevel="0" collapsed="false">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row>
    <row r="77" customFormat="false" ht="12.75" hidden="false" customHeight="true" outlineLevel="0" collapsed="false">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row>
    <row r="78" customFormat="false" ht="12.75" hidden="false" customHeight="true" outlineLevel="0" collapsed="false">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row>
    <row r="79" customFormat="false" ht="12.75" hidden="false" customHeight="true" outlineLevel="0" collapsed="false">
      <c r="A79" s="22"/>
      <c r="B79" s="22"/>
      <c r="C79" s="22"/>
      <c r="D79" s="22"/>
      <c r="E79" s="22"/>
      <c r="F79" s="22"/>
      <c r="G79" s="22"/>
      <c r="H79" s="22"/>
      <c r="I79" s="22"/>
      <c r="J79" s="22"/>
      <c r="K79" s="22"/>
      <c r="L79" s="22"/>
      <c r="M79" s="22"/>
      <c r="N79" s="22"/>
      <c r="O79" s="22"/>
      <c r="P79" s="22"/>
      <c r="Q79" s="22"/>
      <c r="R79" s="22"/>
      <c r="S79" s="22"/>
      <c r="T79" s="22"/>
      <c r="U79" s="22"/>
      <c r="V79" s="22"/>
      <c r="W79" s="22"/>
      <c r="X79" s="22"/>
      <c r="Y79" s="22"/>
      <c r="Z79" s="22"/>
    </row>
    <row r="80" customFormat="false" ht="12.75" hidden="false" customHeight="true" outlineLevel="0" collapsed="false">
      <c r="A80" s="22"/>
      <c r="B80" s="22"/>
      <c r="C80" s="22"/>
      <c r="D80" s="22"/>
      <c r="E80" s="22"/>
      <c r="F80" s="22"/>
      <c r="G80" s="22"/>
      <c r="H80" s="22"/>
      <c r="I80" s="22"/>
      <c r="J80" s="22"/>
      <c r="K80" s="22"/>
      <c r="L80" s="22"/>
      <c r="M80" s="22"/>
      <c r="N80" s="22"/>
      <c r="O80" s="22"/>
      <c r="P80" s="22"/>
      <c r="Q80" s="22"/>
      <c r="R80" s="22"/>
      <c r="S80" s="22"/>
      <c r="T80" s="22"/>
      <c r="U80" s="22"/>
      <c r="V80" s="22"/>
      <c r="W80" s="22"/>
      <c r="X80" s="22"/>
      <c r="Y80" s="22"/>
      <c r="Z80" s="22"/>
    </row>
    <row r="81" customFormat="false" ht="12.75" hidden="false" customHeight="true" outlineLevel="0" collapsed="false">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row>
    <row r="82" customFormat="false" ht="12.75" hidden="false" customHeight="true" outlineLevel="0" collapsed="false">
      <c r="A82" s="22"/>
      <c r="B82" s="22"/>
      <c r="C82" s="22"/>
      <c r="D82" s="22"/>
      <c r="E82" s="22"/>
      <c r="F82" s="22"/>
      <c r="G82" s="22"/>
      <c r="H82" s="22"/>
      <c r="I82" s="22"/>
      <c r="J82" s="22"/>
      <c r="K82" s="22"/>
      <c r="L82" s="22"/>
      <c r="M82" s="22"/>
      <c r="N82" s="22"/>
      <c r="O82" s="22"/>
      <c r="P82" s="22"/>
      <c r="Q82" s="22"/>
      <c r="R82" s="22"/>
      <c r="S82" s="22"/>
      <c r="T82" s="22"/>
      <c r="U82" s="22"/>
      <c r="V82" s="22"/>
      <c r="W82" s="22"/>
      <c r="X82" s="22"/>
      <c r="Y82" s="22"/>
      <c r="Z82" s="22"/>
    </row>
    <row r="83" customFormat="false" ht="12.75" hidden="false" customHeight="true" outlineLevel="0" collapsed="false">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row>
    <row r="84" customFormat="false" ht="12.75" hidden="false" customHeight="true" outlineLevel="0" collapsed="false">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row>
    <row r="85" customFormat="false" ht="12.75" hidden="false" customHeight="true" outlineLevel="0" collapsed="false">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row>
    <row r="86" customFormat="false" ht="12.75" hidden="false" customHeight="true" outlineLevel="0" collapsed="false">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row>
    <row r="87" customFormat="false" ht="12.75" hidden="false" customHeight="true" outlineLevel="0" collapsed="false">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row>
    <row r="88" customFormat="false" ht="12.75" hidden="false" customHeight="true" outlineLevel="0" collapsed="false">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row>
    <row r="89" customFormat="false" ht="12.75" hidden="false" customHeight="true" outlineLevel="0" collapsed="false">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row>
    <row r="90" customFormat="false" ht="12.75" hidden="false" customHeight="true" outlineLevel="0" collapsed="false">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row>
    <row r="91" customFormat="false" ht="12.75" hidden="false" customHeight="true" outlineLevel="0" collapsed="false">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row>
    <row r="92" customFormat="false" ht="12.75" hidden="false" customHeight="true" outlineLevel="0" collapsed="false">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row>
    <row r="93" customFormat="false" ht="12.75" hidden="false" customHeight="true" outlineLevel="0" collapsed="false">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row>
    <row r="94" customFormat="false" ht="12.75" hidden="false" customHeight="true" outlineLevel="0" collapsed="false">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row>
    <row r="95" customFormat="false" ht="12.75" hidden="false" customHeight="true" outlineLevel="0" collapsed="false">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row>
    <row r="96" customFormat="false" ht="12.75" hidden="false" customHeight="true" outlineLevel="0" collapsed="false">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row>
    <row r="97" customFormat="false" ht="12.75" hidden="false" customHeight="true" outlineLevel="0" collapsed="false">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row>
    <row r="98" customFormat="false" ht="12.75" hidden="false" customHeight="true" outlineLevel="0" collapsed="false">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row>
    <row r="99" customFormat="false" ht="12.75" hidden="false" customHeight="true" outlineLevel="0" collapsed="false">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row>
    <row r="100" customFormat="false" ht="12.75" hidden="false" customHeight="true" outlineLevel="0" collapsed="false">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31"/>
    <col collapsed="false" customWidth="true" hidden="false" outlineLevel="0" max="3" min="2" style="1" width="36"/>
    <col collapsed="false" customWidth="true" hidden="false" outlineLevel="0" max="12" min="4" style="2" width="10"/>
  </cols>
  <sheetData>
    <row r="1" customFormat="false" ht="12.75" hidden="false" customHeight="true" outlineLevel="0" collapsed="false">
      <c r="A1" s="21" t="s">
        <v>241</v>
      </c>
      <c r="B1" s="21" t="s">
        <v>242</v>
      </c>
      <c r="C1" s="21" t="s">
        <v>979</v>
      </c>
      <c r="D1" s="21"/>
      <c r="E1" s="21"/>
      <c r="F1" s="21"/>
      <c r="G1" s="21"/>
      <c r="H1" s="21"/>
      <c r="I1" s="21"/>
      <c r="J1" s="21"/>
      <c r="K1" s="21"/>
      <c r="L1" s="21"/>
      <c r="M1" s="21"/>
      <c r="N1" s="21"/>
      <c r="O1" s="21"/>
      <c r="P1" s="21"/>
      <c r="Q1" s="21"/>
      <c r="R1" s="21"/>
      <c r="S1" s="21"/>
      <c r="T1" s="21"/>
      <c r="U1" s="21"/>
      <c r="V1" s="21"/>
      <c r="W1" s="21"/>
      <c r="X1" s="21"/>
      <c r="Y1" s="21"/>
      <c r="Z1" s="21"/>
    </row>
    <row r="2" customFormat="false" ht="12.75" hidden="false" customHeight="true" outlineLevel="0" collapsed="false">
      <c r="A2" s="22" t="s">
        <v>2226</v>
      </c>
      <c r="B2" s="22" t="s">
        <v>326</v>
      </c>
      <c r="C2" s="22" t="s">
        <v>3157</v>
      </c>
      <c r="D2" s="22"/>
      <c r="E2" s="22"/>
      <c r="F2" s="22"/>
      <c r="G2" s="22"/>
      <c r="H2" s="22"/>
      <c r="I2" s="22"/>
      <c r="J2" s="22"/>
      <c r="K2" s="22"/>
      <c r="L2" s="22"/>
      <c r="M2" s="22"/>
      <c r="N2" s="22"/>
      <c r="O2" s="22"/>
      <c r="P2" s="22"/>
      <c r="Q2" s="22"/>
      <c r="R2" s="22"/>
      <c r="S2" s="22"/>
      <c r="T2" s="22"/>
      <c r="U2" s="22"/>
      <c r="V2" s="22"/>
      <c r="W2" s="22"/>
      <c r="X2" s="22"/>
      <c r="Y2" s="22"/>
      <c r="Z2" s="22"/>
    </row>
    <row r="3" customFormat="false" ht="12.75" hidden="false" customHeight="true" outlineLevel="0" collapsed="false">
      <c r="A3" s="22" t="s">
        <v>3158</v>
      </c>
      <c r="B3" s="22" t="s">
        <v>3159</v>
      </c>
      <c r="C3" s="22" t="s">
        <v>3160</v>
      </c>
      <c r="D3" s="22"/>
      <c r="E3" s="22"/>
      <c r="F3" s="22"/>
      <c r="G3" s="22"/>
      <c r="H3" s="22"/>
      <c r="I3" s="22"/>
      <c r="J3" s="22"/>
      <c r="K3" s="22"/>
      <c r="L3" s="22"/>
      <c r="M3" s="22"/>
      <c r="N3" s="22"/>
      <c r="O3" s="22"/>
      <c r="P3" s="22"/>
      <c r="Q3" s="22"/>
      <c r="R3" s="22"/>
      <c r="S3" s="22"/>
      <c r="T3" s="22"/>
      <c r="U3" s="22"/>
      <c r="V3" s="22"/>
      <c r="W3" s="22"/>
      <c r="X3" s="22"/>
      <c r="Y3" s="22"/>
      <c r="Z3" s="22"/>
    </row>
    <row r="4" customFormat="false" ht="26.25" hidden="false" customHeight="true" outlineLevel="0" collapsed="false">
      <c r="A4" s="22" t="s">
        <v>3161</v>
      </c>
      <c r="B4" s="22" t="s">
        <v>3162</v>
      </c>
      <c r="C4" s="22" t="s">
        <v>3163</v>
      </c>
      <c r="D4" s="22"/>
      <c r="E4" s="22"/>
      <c r="F4" s="22"/>
      <c r="G4" s="22"/>
      <c r="H4" s="22"/>
      <c r="I4" s="22"/>
      <c r="J4" s="22"/>
      <c r="K4" s="22"/>
      <c r="L4" s="22"/>
      <c r="M4" s="22"/>
      <c r="N4" s="22"/>
      <c r="O4" s="22"/>
      <c r="P4" s="22"/>
      <c r="Q4" s="22"/>
      <c r="R4" s="22"/>
      <c r="S4" s="22"/>
      <c r="T4" s="22"/>
      <c r="U4" s="22"/>
      <c r="V4" s="22"/>
      <c r="W4" s="22"/>
      <c r="X4" s="22"/>
      <c r="Y4" s="22"/>
      <c r="Z4" s="22"/>
    </row>
    <row r="5" customFormat="false" ht="26.25" hidden="false" customHeight="true" outlineLevel="0" collapsed="false">
      <c r="A5" s="22" t="s">
        <v>3164</v>
      </c>
      <c r="B5" s="22" t="s">
        <v>3165</v>
      </c>
      <c r="C5" s="22" t="s">
        <v>3166</v>
      </c>
      <c r="D5" s="22"/>
      <c r="E5" s="22"/>
      <c r="F5" s="22"/>
      <c r="G5" s="22"/>
      <c r="H5" s="22"/>
      <c r="I5" s="22"/>
      <c r="J5" s="22"/>
      <c r="K5" s="22"/>
      <c r="L5" s="22"/>
      <c r="M5" s="22"/>
      <c r="N5" s="22"/>
      <c r="O5" s="22"/>
      <c r="P5" s="22"/>
      <c r="Q5" s="22"/>
      <c r="R5" s="22"/>
      <c r="S5" s="22"/>
      <c r="T5" s="22"/>
      <c r="U5" s="22"/>
      <c r="V5" s="22"/>
      <c r="W5" s="22"/>
      <c r="X5" s="22"/>
      <c r="Y5" s="22"/>
      <c r="Z5" s="22"/>
    </row>
    <row r="6" customFormat="false" ht="12.75" hidden="false" customHeight="true" outlineLevel="0" collapsed="false">
      <c r="A6" s="22" t="s">
        <v>3167</v>
      </c>
      <c r="B6" s="22" t="s">
        <v>3168</v>
      </c>
      <c r="C6" s="22" t="s">
        <v>3169</v>
      </c>
      <c r="D6" s="22"/>
      <c r="E6" s="22"/>
      <c r="F6" s="22"/>
      <c r="G6" s="22"/>
      <c r="H6" s="22"/>
      <c r="I6" s="22"/>
      <c r="J6" s="22"/>
      <c r="K6" s="22"/>
      <c r="L6" s="22"/>
      <c r="M6" s="22"/>
      <c r="N6" s="22"/>
      <c r="O6" s="22"/>
      <c r="P6" s="22"/>
      <c r="Q6" s="22"/>
      <c r="R6" s="22"/>
      <c r="S6" s="22"/>
      <c r="T6" s="22"/>
      <c r="U6" s="22"/>
      <c r="V6" s="22"/>
      <c r="W6" s="22"/>
      <c r="X6" s="22"/>
      <c r="Y6" s="22"/>
      <c r="Z6" s="22"/>
    </row>
    <row r="7" customFormat="false" ht="12.75" hidden="false" customHeight="true" outlineLevel="0" collapsed="false">
      <c r="A7" s="22" t="s">
        <v>3170</v>
      </c>
      <c r="B7" s="22" t="s">
        <v>3171</v>
      </c>
      <c r="C7" s="22" t="s">
        <v>3172</v>
      </c>
      <c r="D7" s="22"/>
      <c r="E7" s="22"/>
      <c r="F7" s="22"/>
      <c r="G7" s="22"/>
      <c r="H7" s="22"/>
      <c r="I7" s="22"/>
      <c r="J7" s="22"/>
      <c r="K7" s="22"/>
      <c r="L7" s="22"/>
      <c r="M7" s="22"/>
      <c r="N7" s="22"/>
      <c r="O7" s="22"/>
      <c r="P7" s="22"/>
      <c r="Q7" s="22"/>
      <c r="R7" s="22"/>
      <c r="S7" s="22"/>
      <c r="T7" s="22"/>
      <c r="U7" s="22"/>
      <c r="V7" s="22"/>
      <c r="W7" s="22"/>
      <c r="X7" s="22"/>
      <c r="Y7" s="22"/>
      <c r="Z7" s="22"/>
    </row>
    <row r="8" customFormat="false" ht="26.25" hidden="false" customHeight="true" outlineLevel="0" collapsed="false">
      <c r="A8" s="22" t="s">
        <v>3173</v>
      </c>
      <c r="B8" s="22" t="s">
        <v>3174</v>
      </c>
      <c r="C8" s="22" t="s">
        <v>3175</v>
      </c>
      <c r="D8" s="22"/>
      <c r="E8" s="22"/>
      <c r="F8" s="22"/>
      <c r="G8" s="22"/>
      <c r="H8" s="22"/>
      <c r="I8" s="22"/>
      <c r="J8" s="22"/>
      <c r="K8" s="22"/>
      <c r="L8" s="22"/>
      <c r="M8" s="22"/>
      <c r="N8" s="22"/>
      <c r="O8" s="22"/>
      <c r="P8" s="22"/>
      <c r="Q8" s="22"/>
      <c r="R8" s="22"/>
      <c r="S8" s="22"/>
      <c r="T8" s="22"/>
      <c r="U8" s="22"/>
      <c r="V8" s="22"/>
      <c r="W8" s="22"/>
      <c r="X8" s="22"/>
      <c r="Y8" s="22"/>
      <c r="Z8" s="22"/>
    </row>
    <row r="9" customFormat="false" ht="12.75" hidden="false" customHeight="true" outlineLevel="0" collapsed="false">
      <c r="A9" s="22"/>
      <c r="B9" s="22"/>
      <c r="C9" s="22"/>
      <c r="D9" s="22"/>
      <c r="E9" s="22"/>
      <c r="F9" s="22"/>
      <c r="G9" s="22"/>
      <c r="H9" s="22"/>
      <c r="I9" s="22"/>
      <c r="J9" s="22"/>
      <c r="K9" s="22"/>
      <c r="L9" s="22"/>
      <c r="M9" s="22"/>
      <c r="N9" s="22"/>
      <c r="O9" s="22"/>
      <c r="P9" s="22"/>
      <c r="Q9" s="22"/>
      <c r="R9" s="22"/>
      <c r="S9" s="22"/>
      <c r="T9" s="22"/>
      <c r="U9" s="22"/>
      <c r="V9" s="22"/>
      <c r="W9" s="22"/>
      <c r="X9" s="22"/>
      <c r="Y9" s="22"/>
      <c r="Z9" s="22"/>
    </row>
    <row r="10" customFormat="false" ht="12.75" hidden="false" customHeight="true" outlineLevel="0" collapsed="false">
      <c r="A10" s="22"/>
      <c r="B10" s="22"/>
      <c r="C10" s="22"/>
      <c r="D10" s="22"/>
      <c r="E10" s="22"/>
      <c r="F10" s="22"/>
      <c r="G10" s="22"/>
      <c r="H10" s="22"/>
      <c r="I10" s="22"/>
      <c r="J10" s="22"/>
      <c r="K10" s="22"/>
      <c r="L10" s="22"/>
      <c r="M10" s="22"/>
      <c r="N10" s="22"/>
      <c r="O10" s="22"/>
      <c r="P10" s="22"/>
      <c r="Q10" s="22"/>
      <c r="R10" s="22"/>
      <c r="S10" s="22"/>
      <c r="T10" s="22"/>
      <c r="U10" s="22"/>
      <c r="V10" s="22"/>
      <c r="W10" s="22"/>
      <c r="X10" s="22"/>
      <c r="Y10" s="22"/>
      <c r="Z10" s="22"/>
    </row>
    <row r="11" customFormat="false" ht="12.75" hidden="false" customHeight="true" outlineLevel="0" collapsed="false">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row>
    <row r="12" customFormat="false" ht="12.75" hidden="false" customHeight="true" outlineLevel="0" collapsed="false">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row>
    <row r="13" customFormat="false" ht="12.75" hidden="false" customHeight="true" outlineLevel="0" collapsed="false">
      <c r="A13" s="22"/>
      <c r="B13" s="22"/>
      <c r="C13" s="22"/>
      <c r="D13" s="22"/>
      <c r="E13" s="22"/>
      <c r="F13" s="22"/>
      <c r="G13" s="22"/>
      <c r="H13" s="22"/>
      <c r="I13" s="22"/>
      <c r="J13" s="22"/>
      <c r="K13" s="22"/>
      <c r="L13" s="22"/>
      <c r="M13" s="22"/>
      <c r="N13" s="22"/>
      <c r="O13" s="22"/>
      <c r="P13" s="22"/>
      <c r="Q13" s="22"/>
      <c r="R13" s="22"/>
      <c r="S13" s="22"/>
      <c r="T13" s="22"/>
      <c r="U13" s="22"/>
      <c r="V13" s="22"/>
      <c r="W13" s="22"/>
      <c r="X13" s="22"/>
      <c r="Y13" s="22"/>
      <c r="Z13" s="22"/>
    </row>
    <row r="14" customFormat="false" ht="12.75" hidden="false" customHeight="true" outlineLevel="0" collapsed="false">
      <c r="A14" s="22"/>
      <c r="B14" s="22"/>
      <c r="C14" s="22"/>
      <c r="D14" s="22"/>
      <c r="E14" s="22"/>
      <c r="F14" s="22"/>
      <c r="G14" s="22"/>
      <c r="H14" s="22"/>
      <c r="I14" s="22"/>
      <c r="J14" s="22"/>
      <c r="K14" s="22"/>
      <c r="L14" s="22"/>
      <c r="M14" s="22"/>
      <c r="N14" s="22"/>
      <c r="O14" s="22"/>
      <c r="P14" s="22"/>
      <c r="Q14" s="22"/>
      <c r="R14" s="22"/>
      <c r="S14" s="22"/>
      <c r="T14" s="22"/>
      <c r="U14" s="22"/>
      <c r="V14" s="22"/>
      <c r="W14" s="22"/>
      <c r="X14" s="22"/>
      <c r="Y14" s="22"/>
      <c r="Z14" s="22"/>
    </row>
    <row r="15" customFormat="false" ht="12.75" hidden="false" customHeight="true" outlineLevel="0" collapsed="false">
      <c r="A15" s="22"/>
      <c r="B15" s="22"/>
      <c r="C15" s="22"/>
      <c r="D15" s="22"/>
      <c r="E15" s="22"/>
      <c r="F15" s="22"/>
      <c r="G15" s="22"/>
      <c r="H15" s="22"/>
      <c r="I15" s="22"/>
      <c r="J15" s="22"/>
      <c r="K15" s="22"/>
      <c r="L15" s="22"/>
      <c r="M15" s="22"/>
      <c r="N15" s="22"/>
      <c r="O15" s="22"/>
      <c r="P15" s="22"/>
      <c r="Q15" s="22"/>
      <c r="R15" s="22"/>
      <c r="S15" s="22"/>
      <c r="T15" s="22"/>
      <c r="U15" s="22"/>
      <c r="V15" s="22"/>
      <c r="W15" s="22"/>
      <c r="X15" s="22"/>
      <c r="Y15" s="22"/>
      <c r="Z15" s="22"/>
    </row>
    <row r="16" customFormat="false" ht="12.75" hidden="false" customHeight="true" outlineLevel="0" collapsed="false">
      <c r="A16" s="22"/>
      <c r="B16" s="22"/>
      <c r="C16" s="22"/>
      <c r="D16" s="22"/>
      <c r="E16" s="22"/>
      <c r="F16" s="22"/>
      <c r="G16" s="22"/>
      <c r="H16" s="22"/>
      <c r="I16" s="22"/>
      <c r="J16" s="22"/>
      <c r="K16" s="22"/>
      <c r="L16" s="22"/>
      <c r="M16" s="22"/>
      <c r="N16" s="22"/>
      <c r="O16" s="22"/>
      <c r="P16" s="22"/>
      <c r="Q16" s="22"/>
      <c r="R16" s="22"/>
      <c r="S16" s="22"/>
      <c r="T16" s="22"/>
      <c r="U16" s="22"/>
      <c r="V16" s="22"/>
      <c r="W16" s="22"/>
      <c r="X16" s="22"/>
      <c r="Y16" s="22"/>
      <c r="Z16" s="22"/>
    </row>
    <row r="17" customFormat="false" ht="12.75" hidden="false" customHeight="true" outlineLevel="0" collapsed="false">
      <c r="A17" s="22"/>
      <c r="B17" s="22"/>
      <c r="C17" s="22"/>
      <c r="D17" s="22"/>
      <c r="E17" s="22"/>
      <c r="F17" s="22"/>
      <c r="G17" s="22"/>
      <c r="H17" s="22"/>
      <c r="I17" s="22"/>
      <c r="J17" s="22"/>
      <c r="K17" s="22"/>
      <c r="L17" s="22"/>
      <c r="M17" s="22"/>
      <c r="N17" s="22"/>
      <c r="O17" s="22"/>
      <c r="P17" s="22"/>
      <c r="Q17" s="22"/>
      <c r="R17" s="22"/>
      <c r="S17" s="22"/>
      <c r="T17" s="22"/>
      <c r="U17" s="22"/>
      <c r="V17" s="22"/>
      <c r="W17" s="22"/>
      <c r="X17" s="22"/>
      <c r="Y17" s="22"/>
      <c r="Z17" s="22"/>
    </row>
    <row r="18" customFormat="false" ht="12.75" hidden="false" customHeight="true" outlineLevel="0" collapsed="false">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row>
    <row r="19" customFormat="false" ht="12.75" hidden="false" customHeight="true" outlineLevel="0" collapsed="false">
      <c r="A19" s="22"/>
      <c r="B19" s="22"/>
      <c r="C19" s="22"/>
      <c r="D19" s="22"/>
      <c r="E19" s="22"/>
      <c r="F19" s="22"/>
      <c r="G19" s="22"/>
      <c r="H19" s="22"/>
      <c r="I19" s="22"/>
      <c r="J19" s="22"/>
      <c r="K19" s="22"/>
      <c r="L19" s="22"/>
      <c r="M19" s="22"/>
      <c r="N19" s="22"/>
      <c r="O19" s="22"/>
      <c r="P19" s="22"/>
      <c r="Q19" s="22"/>
      <c r="R19" s="22"/>
      <c r="S19" s="22"/>
      <c r="T19" s="22"/>
      <c r="U19" s="22"/>
      <c r="V19" s="22"/>
      <c r="W19" s="22"/>
      <c r="X19" s="22"/>
      <c r="Y19" s="22"/>
      <c r="Z19" s="22"/>
    </row>
    <row r="20" customFormat="false" ht="12.75" hidden="false" customHeight="true" outlineLevel="0" collapsed="false">
      <c r="A20" s="22"/>
      <c r="B20" s="22"/>
      <c r="C20" s="22"/>
      <c r="D20" s="22"/>
      <c r="E20" s="22"/>
      <c r="F20" s="22"/>
      <c r="G20" s="22"/>
      <c r="H20" s="22"/>
      <c r="I20" s="22"/>
      <c r="J20" s="22"/>
      <c r="K20" s="22"/>
      <c r="L20" s="22"/>
      <c r="M20" s="22"/>
      <c r="N20" s="22"/>
      <c r="O20" s="22"/>
      <c r="P20" s="22"/>
      <c r="Q20" s="22"/>
      <c r="R20" s="22"/>
      <c r="S20" s="22"/>
      <c r="T20" s="22"/>
      <c r="U20" s="22"/>
      <c r="V20" s="22"/>
      <c r="W20" s="22"/>
      <c r="X20" s="22"/>
      <c r="Y20" s="22"/>
      <c r="Z20" s="22"/>
    </row>
    <row r="21" customFormat="false" ht="12.75" hidden="false" customHeight="true" outlineLevel="0" collapsed="false">
      <c r="A21" s="22"/>
      <c r="B21" s="22"/>
      <c r="C21" s="22"/>
      <c r="D21" s="22"/>
      <c r="E21" s="22"/>
      <c r="F21" s="22"/>
      <c r="G21" s="22"/>
      <c r="H21" s="22"/>
      <c r="I21" s="22"/>
      <c r="J21" s="22"/>
      <c r="K21" s="22"/>
      <c r="L21" s="22"/>
      <c r="M21" s="22"/>
      <c r="N21" s="22"/>
      <c r="O21" s="22"/>
      <c r="P21" s="22"/>
      <c r="Q21" s="22"/>
      <c r="R21" s="22"/>
      <c r="S21" s="22"/>
      <c r="T21" s="22"/>
      <c r="U21" s="22"/>
      <c r="V21" s="22"/>
      <c r="W21" s="22"/>
      <c r="X21" s="22"/>
      <c r="Y21" s="22"/>
      <c r="Z21" s="22"/>
    </row>
    <row r="22" customFormat="false" ht="12.75" hidden="false" customHeight="true" outlineLevel="0" collapsed="false">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row>
    <row r="23" customFormat="false" ht="12.75" hidden="false" customHeight="true" outlineLevel="0" collapsed="false">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row>
    <row r="24" customFormat="false" ht="12.75" hidden="false" customHeight="true" outlineLevel="0" collapsed="false">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row>
    <row r="25" customFormat="false" ht="12.75" hidden="false" customHeight="true" outlineLevel="0" collapsed="false">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row>
    <row r="26" customFormat="false" ht="12.75" hidden="false" customHeight="true" outlineLevel="0" collapsed="false">
      <c r="A26" s="22"/>
      <c r="B26" s="22"/>
      <c r="C26" s="22"/>
      <c r="D26" s="22"/>
      <c r="E26" s="22"/>
      <c r="F26" s="22"/>
      <c r="G26" s="22"/>
      <c r="H26" s="22"/>
      <c r="I26" s="22"/>
      <c r="J26" s="22"/>
      <c r="K26" s="22"/>
      <c r="L26" s="22"/>
      <c r="M26" s="22"/>
      <c r="N26" s="22"/>
      <c r="O26" s="22"/>
      <c r="P26" s="22"/>
      <c r="Q26" s="22"/>
      <c r="R26" s="22"/>
      <c r="S26" s="22"/>
      <c r="T26" s="22"/>
      <c r="U26" s="22"/>
      <c r="V26" s="22"/>
      <c r="W26" s="22"/>
      <c r="X26" s="22"/>
      <c r="Y26" s="22"/>
      <c r="Z26" s="22"/>
    </row>
    <row r="27" customFormat="false" ht="12.75" hidden="false" customHeight="true" outlineLevel="0" collapsed="false">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row>
    <row r="28" customFormat="false" ht="12.75" hidden="false" customHeight="true" outlineLevel="0" collapsed="false">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row>
    <row r="29" customFormat="false" ht="12.75" hidden="false" customHeight="true" outlineLevel="0" collapsed="false">
      <c r="A29" s="22"/>
      <c r="B29" s="22"/>
      <c r="C29" s="22"/>
      <c r="D29" s="22"/>
      <c r="E29" s="22"/>
      <c r="F29" s="22"/>
      <c r="G29" s="22"/>
      <c r="H29" s="22"/>
      <c r="I29" s="22"/>
      <c r="J29" s="22"/>
      <c r="K29" s="22"/>
      <c r="L29" s="22"/>
      <c r="M29" s="22"/>
      <c r="N29" s="22"/>
      <c r="O29" s="22"/>
      <c r="P29" s="22"/>
      <c r="Q29" s="22"/>
      <c r="R29" s="22"/>
      <c r="S29" s="22"/>
      <c r="T29" s="22"/>
      <c r="U29" s="22"/>
      <c r="V29" s="22"/>
      <c r="W29" s="22"/>
      <c r="X29" s="22"/>
      <c r="Y29" s="22"/>
      <c r="Z29" s="22"/>
    </row>
    <row r="30" customFormat="false" ht="12.75" hidden="false" customHeight="true" outlineLevel="0" collapsed="false">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row>
    <row r="31" customFormat="false" ht="12.75" hidden="false" customHeight="true" outlineLevel="0" collapsed="false">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row>
    <row r="32" customFormat="false" ht="12.75" hidden="false" customHeight="true" outlineLevel="0" collapsed="false">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row>
    <row r="33" customFormat="false" ht="12.75" hidden="false" customHeight="true" outlineLevel="0" collapsed="false">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row>
    <row r="34" customFormat="false" ht="12.75" hidden="false" customHeight="true" outlineLevel="0" collapsed="false">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row>
    <row r="35" customFormat="false" ht="12.75" hidden="false" customHeight="true" outlineLevel="0" collapsed="false">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row>
    <row r="36" customFormat="false" ht="12.75" hidden="false" customHeight="true" outlineLevel="0" collapsed="false">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customFormat="false" ht="12.75" hidden="false" customHeight="true" outlineLevel="0" collapsed="false">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row>
    <row r="38" customFormat="false" ht="12.75"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row>
    <row r="39" customFormat="false" ht="12.75" hidden="false" customHeight="true" outlineLevel="0" collapsed="false">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row>
    <row r="40" customFormat="false" ht="12.75" hidden="false" customHeight="true" outlineLevel="0" collapsed="false">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row>
    <row r="41" customFormat="false" ht="12.75" hidden="false" customHeight="true" outlineLevel="0" collapsed="false">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row>
    <row r="42" customFormat="false" ht="12.75" hidden="false" customHeight="true" outlineLevel="0" collapsed="false">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row>
    <row r="43" customFormat="false" ht="12.75" hidden="false" customHeight="true" outlineLevel="0" collapsed="false">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row>
    <row r="44" customFormat="false" ht="12.75" hidden="false" customHeight="true" outlineLevel="0" collapsed="false">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row>
    <row r="45" customFormat="false" ht="12.75" hidden="false" customHeight="true" outlineLevel="0" collapsed="false">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row>
    <row r="46" customFormat="false" ht="12.75" hidden="false" customHeight="true" outlineLevel="0" collapsed="false">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row>
    <row r="47" customFormat="false" ht="12.75" hidden="false" customHeight="true" outlineLevel="0" collapsed="false">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row>
    <row r="48" customFormat="false" ht="12.75" hidden="false" customHeight="true" outlineLevel="0" collapsed="false">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row>
    <row r="49" customFormat="false" ht="12.75" hidden="false" customHeight="true" outlineLevel="0" collapsed="false">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customFormat="false" ht="12.75" hidden="false" customHeight="true" outlineLevel="0" collapsed="false">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row>
    <row r="51" customFormat="false" ht="12.75" hidden="false" customHeight="true" outlineLevel="0" collapsed="false">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row>
    <row r="52" customFormat="false" ht="12.75" hidden="false" customHeight="true" outlineLevel="0" collapsed="false">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row>
    <row r="53" customFormat="false" ht="12.75" hidden="false" customHeight="true" outlineLevel="0" collapsed="false">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row>
    <row r="54" customFormat="false" ht="12.75" hidden="false" customHeight="true" outlineLevel="0" collapsed="false">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row>
    <row r="55" customFormat="false" ht="12.75" hidden="false" customHeight="true" outlineLevel="0" collapsed="false">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row>
    <row r="56" customFormat="false" ht="12.75" hidden="false" customHeight="true" outlineLevel="0" collapsed="false">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row>
    <row r="57" customFormat="false" ht="12.75" hidden="false" customHeight="true" outlineLevel="0" collapsed="false">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customFormat="false" ht="12.75" hidden="false" customHeight="true" outlineLevel="0" collapsed="false">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row>
    <row r="59" customFormat="false" ht="12.75" hidden="false" customHeight="true" outlineLevel="0" collapsed="false">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row>
    <row r="60" customFormat="false" ht="12.75" hidden="false" customHeight="true" outlineLevel="0" collapsed="false">
      <c r="A60" s="22"/>
      <c r="B60" s="22"/>
      <c r="C60" s="22"/>
      <c r="D60" s="22"/>
      <c r="E60" s="22"/>
      <c r="F60" s="22"/>
      <c r="G60" s="22"/>
      <c r="H60" s="22"/>
      <c r="I60" s="22"/>
      <c r="J60" s="22"/>
      <c r="K60" s="22"/>
      <c r="L60" s="22"/>
      <c r="M60" s="22"/>
      <c r="N60" s="22"/>
      <c r="O60" s="22"/>
      <c r="P60" s="22"/>
      <c r="Q60" s="22"/>
      <c r="R60" s="22"/>
      <c r="S60" s="22"/>
      <c r="T60" s="22"/>
      <c r="U60" s="22"/>
      <c r="V60" s="22"/>
      <c r="W60" s="22"/>
      <c r="X60" s="22"/>
      <c r="Y60" s="22"/>
      <c r="Z60" s="22"/>
    </row>
    <row r="61" customFormat="false" ht="12.75" hidden="false" customHeight="true" outlineLevel="0" collapsed="false">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row>
    <row r="62" customFormat="false" ht="12.75" hidden="false" customHeight="true" outlineLevel="0" collapsed="false">
      <c r="A62" s="22"/>
      <c r="B62" s="22"/>
      <c r="C62" s="22"/>
      <c r="D62" s="22"/>
      <c r="E62" s="22"/>
      <c r="F62" s="22"/>
      <c r="G62" s="22"/>
      <c r="H62" s="22"/>
      <c r="I62" s="22"/>
      <c r="J62" s="22"/>
      <c r="K62" s="22"/>
      <c r="L62" s="22"/>
      <c r="M62" s="22"/>
      <c r="N62" s="22"/>
      <c r="O62" s="22"/>
      <c r="P62" s="22"/>
      <c r="Q62" s="22"/>
      <c r="R62" s="22"/>
      <c r="S62" s="22"/>
      <c r="T62" s="22"/>
      <c r="U62" s="22"/>
      <c r="V62" s="22"/>
      <c r="W62" s="22"/>
      <c r="X62" s="22"/>
      <c r="Y62" s="22"/>
      <c r="Z62" s="22"/>
    </row>
    <row r="63" customFormat="false" ht="12.75" hidden="false" customHeight="true" outlineLevel="0" collapsed="false">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row>
    <row r="64" customFormat="false" ht="12.75" hidden="false" customHeight="true" outlineLevel="0" collapsed="false">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row>
    <row r="65" customFormat="false" ht="12.75" hidden="false" customHeight="true" outlineLevel="0" collapsed="false">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row>
    <row r="66" customFormat="false" ht="12.75" hidden="false" customHeight="true" outlineLevel="0" collapsed="false">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row>
    <row r="67" customFormat="false" ht="12.75" hidden="false" customHeight="true" outlineLevel="0" collapsed="false">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row>
    <row r="68" customFormat="false" ht="12.75" hidden="false" customHeight="true" outlineLevel="0" collapsed="false">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row>
    <row r="69" customFormat="false" ht="12.75" hidden="false" customHeight="true" outlineLevel="0" collapsed="false">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row>
    <row r="70" customFormat="false" ht="12.75" hidden="false" customHeight="true" outlineLevel="0" collapsed="false">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row>
    <row r="71" customFormat="false" ht="12.75" hidden="false" customHeight="true" outlineLevel="0" collapsed="false">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row>
    <row r="72" customFormat="false" ht="12.75" hidden="false" customHeight="true" outlineLevel="0" collapsed="false">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row>
    <row r="73" customFormat="false" ht="12.75" hidden="false" customHeight="true" outlineLevel="0" collapsed="false">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row>
    <row r="74" customFormat="false" ht="12.75" hidden="false" customHeight="true" outlineLevel="0" collapsed="false">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row>
    <row r="75" customFormat="false" ht="12.75" hidden="false" customHeight="true" outlineLevel="0" collapsed="false">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row>
    <row r="76" customFormat="false" ht="12.75" hidden="false" customHeight="true" outlineLevel="0" collapsed="false">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row>
    <row r="77" customFormat="false" ht="12.75" hidden="false" customHeight="true" outlineLevel="0" collapsed="false">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row>
    <row r="78" customFormat="false" ht="12.75" hidden="false" customHeight="true" outlineLevel="0" collapsed="false">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row>
    <row r="79" customFormat="false" ht="12.75" hidden="false" customHeight="true" outlineLevel="0" collapsed="false">
      <c r="A79" s="22"/>
      <c r="B79" s="22"/>
      <c r="C79" s="22"/>
      <c r="D79" s="22"/>
      <c r="E79" s="22"/>
      <c r="F79" s="22"/>
      <c r="G79" s="22"/>
      <c r="H79" s="22"/>
      <c r="I79" s="22"/>
      <c r="J79" s="22"/>
      <c r="K79" s="22"/>
      <c r="L79" s="22"/>
      <c r="M79" s="22"/>
      <c r="N79" s="22"/>
      <c r="O79" s="22"/>
      <c r="P79" s="22"/>
      <c r="Q79" s="22"/>
      <c r="R79" s="22"/>
      <c r="S79" s="22"/>
      <c r="T79" s="22"/>
      <c r="U79" s="22"/>
      <c r="V79" s="22"/>
      <c r="W79" s="22"/>
      <c r="X79" s="22"/>
      <c r="Y79" s="22"/>
      <c r="Z79" s="22"/>
    </row>
    <row r="80" customFormat="false" ht="12.75" hidden="false" customHeight="true" outlineLevel="0" collapsed="false">
      <c r="A80" s="22"/>
      <c r="B80" s="22"/>
      <c r="C80" s="22"/>
      <c r="D80" s="22"/>
      <c r="E80" s="22"/>
      <c r="F80" s="22"/>
      <c r="G80" s="22"/>
      <c r="H80" s="22"/>
      <c r="I80" s="22"/>
      <c r="J80" s="22"/>
      <c r="K80" s="22"/>
      <c r="L80" s="22"/>
      <c r="M80" s="22"/>
      <c r="N80" s="22"/>
      <c r="O80" s="22"/>
      <c r="P80" s="22"/>
      <c r="Q80" s="22"/>
      <c r="R80" s="22"/>
      <c r="S80" s="22"/>
      <c r="T80" s="22"/>
      <c r="U80" s="22"/>
      <c r="V80" s="22"/>
      <c r="W80" s="22"/>
      <c r="X80" s="22"/>
      <c r="Y80" s="22"/>
      <c r="Z80" s="22"/>
    </row>
    <row r="81" customFormat="false" ht="12.75" hidden="false" customHeight="true" outlineLevel="0" collapsed="false">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row>
    <row r="82" customFormat="false" ht="12.75" hidden="false" customHeight="true" outlineLevel="0" collapsed="false">
      <c r="A82" s="22"/>
      <c r="B82" s="22"/>
      <c r="C82" s="22"/>
      <c r="D82" s="22"/>
      <c r="E82" s="22"/>
      <c r="F82" s="22"/>
      <c r="G82" s="22"/>
      <c r="H82" s="22"/>
      <c r="I82" s="22"/>
      <c r="J82" s="22"/>
      <c r="K82" s="22"/>
      <c r="L82" s="22"/>
      <c r="M82" s="22"/>
      <c r="N82" s="22"/>
      <c r="O82" s="22"/>
      <c r="P82" s="22"/>
      <c r="Q82" s="22"/>
      <c r="R82" s="22"/>
      <c r="S82" s="22"/>
      <c r="T82" s="22"/>
      <c r="U82" s="22"/>
      <c r="V82" s="22"/>
      <c r="W82" s="22"/>
      <c r="X82" s="22"/>
      <c r="Y82" s="22"/>
      <c r="Z82" s="22"/>
    </row>
    <row r="83" customFormat="false" ht="12.75" hidden="false" customHeight="true" outlineLevel="0" collapsed="false">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row>
    <row r="84" customFormat="false" ht="12.75" hidden="false" customHeight="true" outlineLevel="0" collapsed="false">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row>
    <row r="85" customFormat="false" ht="12.75" hidden="false" customHeight="true" outlineLevel="0" collapsed="false">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row>
    <row r="86" customFormat="false" ht="12.75" hidden="false" customHeight="true" outlineLevel="0" collapsed="false">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row>
    <row r="87" customFormat="false" ht="12.75" hidden="false" customHeight="true" outlineLevel="0" collapsed="false">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row>
    <row r="88" customFormat="false" ht="12.75" hidden="false" customHeight="true" outlineLevel="0" collapsed="false">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row>
    <row r="89" customFormat="false" ht="12.75" hidden="false" customHeight="true" outlineLevel="0" collapsed="false">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row>
    <row r="90" customFormat="false" ht="12.75" hidden="false" customHeight="true" outlineLevel="0" collapsed="false">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row>
    <row r="91" customFormat="false" ht="12.75" hidden="false" customHeight="true" outlineLevel="0" collapsed="false">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row>
    <row r="92" customFormat="false" ht="12.75" hidden="false" customHeight="true" outlineLevel="0" collapsed="false">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row>
    <row r="93" customFormat="false" ht="12.75" hidden="false" customHeight="true" outlineLevel="0" collapsed="false">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row>
    <row r="94" customFormat="false" ht="12.75" hidden="false" customHeight="true" outlineLevel="0" collapsed="false">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row>
    <row r="95" customFormat="false" ht="12.75" hidden="false" customHeight="true" outlineLevel="0" collapsed="false">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row>
    <row r="96" customFormat="false" ht="12.75" hidden="false" customHeight="true" outlineLevel="0" collapsed="false">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row>
    <row r="97" customFormat="false" ht="12.75" hidden="false" customHeight="true" outlineLevel="0" collapsed="false">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row>
    <row r="98" customFormat="false" ht="12.75" hidden="false" customHeight="true" outlineLevel="0" collapsed="false">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row>
    <row r="99" customFormat="false" ht="12.75" hidden="false" customHeight="true" outlineLevel="0" collapsed="false">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row>
    <row r="100" customFormat="false" ht="12.75" hidden="false" customHeight="true" outlineLevel="0" collapsed="false">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3" min="1" style="1" width="36"/>
  </cols>
  <sheetData>
    <row r="1" customFormat="false" ht="12.75" hidden="false" customHeight="true" outlineLevel="0" collapsed="false">
      <c r="A1" s="21" t="s">
        <v>3176</v>
      </c>
      <c r="B1" s="21" t="s">
        <v>244</v>
      </c>
      <c r="C1" s="21" t="s">
        <v>979</v>
      </c>
    </row>
    <row r="2" customFormat="false" ht="26.25" hidden="false" customHeight="true" outlineLevel="0" collapsed="false">
      <c r="A2" s="22" t="s">
        <v>3177</v>
      </c>
      <c r="B2" s="22" t="s">
        <v>3178</v>
      </c>
      <c r="C2" s="22" t="s">
        <v>3179</v>
      </c>
    </row>
    <row r="3" customFormat="false" ht="26.25" hidden="false" customHeight="true" outlineLevel="0" collapsed="false">
      <c r="A3" s="22" t="s">
        <v>3180</v>
      </c>
      <c r="B3" s="22" t="s">
        <v>3181</v>
      </c>
      <c r="C3" s="22" t="s">
        <v>3182</v>
      </c>
    </row>
    <row r="4" customFormat="false" ht="26.25" hidden="false" customHeight="true" outlineLevel="0" collapsed="false">
      <c r="A4" s="22" t="s">
        <v>3183</v>
      </c>
      <c r="B4" s="22" t="s">
        <v>3181</v>
      </c>
      <c r="C4" s="22" t="s">
        <v>3182</v>
      </c>
    </row>
    <row r="5" customFormat="false" ht="12.75" hidden="false" customHeight="true" outlineLevel="0" collapsed="false">
      <c r="A5" s="22" t="s">
        <v>3184</v>
      </c>
      <c r="B5" s="22" t="s">
        <v>3185</v>
      </c>
      <c r="C5" s="22" t="s">
        <v>3186</v>
      </c>
    </row>
    <row r="6" customFormat="false" ht="12.75" hidden="false" customHeight="true" outlineLevel="0" collapsed="false">
      <c r="A6" s="22" t="s">
        <v>3187</v>
      </c>
      <c r="B6" s="22" t="s">
        <v>3185</v>
      </c>
      <c r="C6" s="22" t="s">
        <v>3188</v>
      </c>
    </row>
    <row r="7" customFormat="false" ht="12.75" hidden="false" customHeight="true" outlineLevel="0" collapsed="false">
      <c r="A7" s="22" t="s">
        <v>3189</v>
      </c>
      <c r="B7" s="22" t="s">
        <v>3185</v>
      </c>
      <c r="C7" s="22" t="s">
        <v>3188</v>
      </c>
    </row>
    <row r="8" customFormat="false" ht="12.75" hidden="false" customHeight="true" outlineLevel="0" collapsed="false">
      <c r="A8" s="22" t="s">
        <v>3190</v>
      </c>
      <c r="B8" s="22" t="s">
        <v>3185</v>
      </c>
      <c r="C8" s="22" t="s">
        <v>3191</v>
      </c>
    </row>
    <row r="9" customFormat="false" ht="12.75" hidden="false" customHeight="true" outlineLevel="0" collapsed="false">
      <c r="A9" s="22" t="s">
        <v>3192</v>
      </c>
      <c r="B9" s="22" t="s">
        <v>3185</v>
      </c>
      <c r="C9" s="22" t="s">
        <v>3193</v>
      </c>
    </row>
    <row r="10" customFormat="false" ht="12.75" hidden="false" customHeight="true" outlineLevel="0" collapsed="false">
      <c r="A10" s="22" t="s">
        <v>3194</v>
      </c>
      <c r="B10" s="22" t="s">
        <v>3185</v>
      </c>
      <c r="C10" s="22" t="s">
        <v>3195</v>
      </c>
    </row>
    <row r="11" customFormat="false" ht="12.75" hidden="false" customHeight="true" outlineLevel="0" collapsed="false">
      <c r="A11" s="22" t="s">
        <v>3196</v>
      </c>
      <c r="B11" s="22" t="s">
        <v>3185</v>
      </c>
      <c r="C11" s="22" t="s">
        <v>3197</v>
      </c>
    </row>
    <row r="12" customFormat="false" ht="26.25" hidden="false" customHeight="true" outlineLevel="0" collapsed="false">
      <c r="A12" s="22" t="s">
        <v>3198</v>
      </c>
      <c r="B12" s="22" t="s">
        <v>3199</v>
      </c>
      <c r="C12" s="22" t="s">
        <v>3200</v>
      </c>
    </row>
    <row r="13" customFormat="false" ht="26.25" hidden="false" customHeight="true" outlineLevel="0" collapsed="false">
      <c r="A13" s="22" t="s">
        <v>3201</v>
      </c>
      <c r="B13" s="22" t="s">
        <v>3202</v>
      </c>
      <c r="C13" s="22" t="s">
        <v>3203</v>
      </c>
    </row>
    <row r="14" customFormat="false" ht="26.25" hidden="false" customHeight="true" outlineLevel="0" collapsed="false">
      <c r="A14" s="22" t="s">
        <v>3204</v>
      </c>
      <c r="B14" s="22" t="s">
        <v>146</v>
      </c>
      <c r="C14" s="22" t="s">
        <v>3205</v>
      </c>
    </row>
    <row r="15" customFormat="false" ht="12.75" hidden="false" customHeight="true" outlineLevel="0" collapsed="false">
      <c r="A15" s="22"/>
      <c r="B15" s="22"/>
      <c r="C15" s="22"/>
    </row>
    <row r="16" customFormat="false" ht="12.75" hidden="false" customHeight="true" outlineLevel="0" collapsed="false">
      <c r="A16" s="22"/>
      <c r="B16" s="22"/>
      <c r="C16" s="22"/>
    </row>
    <row r="17" customFormat="false" ht="12.75" hidden="false" customHeight="true" outlineLevel="0" collapsed="false">
      <c r="A17" s="22"/>
      <c r="B17" s="22"/>
      <c r="C17" s="22"/>
    </row>
    <row r="18" customFormat="false" ht="12.75" hidden="false" customHeight="true" outlineLevel="0" collapsed="false">
      <c r="A18" s="22"/>
      <c r="B18" s="22"/>
      <c r="C18" s="22"/>
    </row>
    <row r="19" customFormat="false" ht="12.75" hidden="false" customHeight="true" outlineLevel="0" collapsed="false">
      <c r="A19" s="22"/>
      <c r="B19" s="22"/>
      <c r="C19" s="22"/>
    </row>
    <row r="20" customFormat="false" ht="39" hidden="false" customHeight="true" outlineLevel="0" collapsed="false">
      <c r="A20" s="22" t="s">
        <v>3206</v>
      </c>
      <c r="B20" s="22" t="s">
        <v>3207</v>
      </c>
      <c r="C20" s="22" t="s">
        <v>3208</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1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2" min="1" style="1" width="36"/>
  </cols>
  <sheetData>
    <row r="1" customFormat="false" ht="12.75" hidden="false" customHeight="true" outlineLevel="0" collapsed="false">
      <c r="A1" s="21" t="s">
        <v>3209</v>
      </c>
      <c r="B1" s="21" t="s">
        <v>242</v>
      </c>
    </row>
    <row r="2" customFormat="false" ht="12.75" hidden="false" customHeight="true" outlineLevel="0" collapsed="false">
      <c r="A2" s="22" t="s">
        <v>1664</v>
      </c>
      <c r="B2" s="22" t="s">
        <v>15</v>
      </c>
    </row>
    <row r="3" customFormat="false" ht="12.75" hidden="false" customHeight="true" outlineLevel="0" collapsed="false">
      <c r="A3" s="22" t="s">
        <v>1665</v>
      </c>
      <c r="B3" s="22" t="s">
        <v>146</v>
      </c>
    </row>
    <row r="4" customFormat="false" ht="12.75" hidden="false" customHeight="true" outlineLevel="0" collapsed="false">
      <c r="A4" s="22" t="s">
        <v>3210</v>
      </c>
      <c r="B4" s="22" t="s">
        <v>3211</v>
      </c>
    </row>
    <row r="5" customFormat="false" ht="12.75" hidden="false" customHeight="true" outlineLevel="0" collapsed="false">
      <c r="A5" s="22" t="s">
        <v>3212</v>
      </c>
      <c r="B5" s="22" t="s">
        <v>971</v>
      </c>
    </row>
    <row r="6" customFormat="false" ht="12.75" hidden="false" customHeight="true" outlineLevel="0" collapsed="false">
      <c r="A6" s="22" t="s">
        <v>3213</v>
      </c>
      <c r="B6" s="22" t="s">
        <v>3214</v>
      </c>
    </row>
    <row r="7" customFormat="false" ht="12.75" hidden="false" customHeight="true" outlineLevel="0" collapsed="false">
      <c r="A7" s="22" t="s">
        <v>1670</v>
      </c>
      <c r="B7" s="22" t="n">
        <v>0</v>
      </c>
    </row>
    <row r="8" customFormat="false" ht="12.75" hidden="false" customHeight="true" outlineLevel="0" collapsed="false">
      <c r="A8" s="22" t="s">
        <v>1672</v>
      </c>
      <c r="B8" s="22" t="n">
        <v>0</v>
      </c>
    </row>
    <row r="9" customFormat="false" ht="12.75" hidden="false" customHeight="true" outlineLevel="0" collapsed="false">
      <c r="A9" s="22" t="s">
        <v>1674</v>
      </c>
      <c r="B9" s="22" t="n">
        <v>0</v>
      </c>
    </row>
    <row r="10" customFormat="false" ht="12.75" hidden="false" customHeight="true" outlineLevel="0" collapsed="false">
      <c r="A10" s="22" t="s">
        <v>1676</v>
      </c>
      <c r="B10" s="22" t="n">
        <v>1</v>
      </c>
    </row>
    <row r="11" customFormat="false" ht="12.75" hidden="false" customHeight="true" outlineLevel="0" collapsed="false">
      <c r="A11" s="22" t="s">
        <v>3215</v>
      </c>
      <c r="B11" s="22" t="s">
        <v>3216</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1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29"/>
    <col collapsed="false" customWidth="true" hidden="false" outlineLevel="0" max="2" min="2" style="1" width="36"/>
    <col collapsed="false" customWidth="true" hidden="false" outlineLevel="0" max="3" min="3" style="1" width="21"/>
    <col collapsed="false" customWidth="true" hidden="false" outlineLevel="0" max="5" min="4" style="1" width="36"/>
    <col collapsed="false" customWidth="true" hidden="false" outlineLevel="0" max="6" min="6" style="1" width="34"/>
    <col collapsed="false" customWidth="true" hidden="false" outlineLevel="0" max="7" min="7" style="2" width="34"/>
    <col collapsed="false" customWidth="true" hidden="false" outlineLevel="0" max="10" min="8" style="2" width="36"/>
  </cols>
  <sheetData>
    <row r="1" customFormat="false" ht="34.5" hidden="false" customHeight="true" outlineLevel="0" collapsed="false">
      <c r="A1" s="21" t="s">
        <v>3217</v>
      </c>
      <c r="B1" s="21"/>
      <c r="C1" s="21"/>
      <c r="D1" s="21"/>
      <c r="E1" s="21"/>
      <c r="F1" s="21"/>
      <c r="G1" s="3"/>
      <c r="H1" s="3"/>
      <c r="I1" s="3"/>
      <c r="J1" s="3"/>
    </row>
    <row r="2" customFormat="false" ht="39" hidden="false" customHeight="true" outlineLevel="0" collapsed="false">
      <c r="A2" s="22" t="s">
        <v>90</v>
      </c>
      <c r="B2" s="22" t="s">
        <v>3218</v>
      </c>
      <c r="C2" s="22"/>
      <c r="D2" s="22"/>
      <c r="E2" s="22"/>
      <c r="F2" s="22"/>
      <c r="G2" s="5"/>
      <c r="H2" s="5"/>
      <c r="I2" s="5"/>
      <c r="J2" s="5"/>
    </row>
    <row r="3" customFormat="false" ht="12.75" hidden="false" customHeight="true" outlineLevel="0" collapsed="false">
      <c r="A3" s="111" t="s">
        <v>241</v>
      </c>
      <c r="B3" s="111" t="s">
        <v>2662</v>
      </c>
      <c r="C3" s="111" t="s">
        <v>3219</v>
      </c>
      <c r="D3" s="111" t="s">
        <v>3220</v>
      </c>
      <c r="E3" s="111" t="s">
        <v>3221</v>
      </c>
      <c r="F3" s="111" t="s">
        <v>3222</v>
      </c>
      <c r="G3" s="22" t="s">
        <v>3223</v>
      </c>
      <c r="H3" s="22" t="s">
        <v>3224</v>
      </c>
      <c r="I3" s="22" t="s">
        <v>3225</v>
      </c>
      <c r="J3" s="22" t="s">
        <v>3226</v>
      </c>
    </row>
    <row r="4" customFormat="false" ht="26.25" hidden="false" customHeight="true" outlineLevel="0" collapsed="false">
      <c r="A4" s="22" t="s">
        <v>2230</v>
      </c>
      <c r="B4" s="22" t="s">
        <v>3227</v>
      </c>
      <c r="C4" s="22" t="s">
        <v>3228</v>
      </c>
      <c r="D4" s="22" t="s">
        <v>3229</v>
      </c>
      <c r="E4" s="22" t="s">
        <v>3230</v>
      </c>
      <c r="F4" s="22" t="s">
        <v>3231</v>
      </c>
      <c r="G4" s="22" t="s">
        <v>3232</v>
      </c>
      <c r="H4" s="22" t="str">
        <f aca="false">IF(OR(C4="HIGH",C4="CRITICAL"),"YES","NO")</f>
        <v>NO</v>
      </c>
      <c r="I4" s="22" t="str">
        <f aca="false">IF(H4="YES","ESCALATE","MONITOR")</f>
        <v>MONITOR</v>
      </c>
      <c r="J4" s="22" t="str">
        <f aca="false">IF(OR(H4="YES",H4="NO"),"PASS","FAIL")</f>
        <v>PASS</v>
      </c>
    </row>
    <row r="5" customFormat="false" ht="26.25" hidden="false" customHeight="true" outlineLevel="0" collapsed="false">
      <c r="A5" s="22" t="s">
        <v>2231</v>
      </c>
      <c r="B5" s="22" t="s">
        <v>3233</v>
      </c>
      <c r="C5" s="22" t="s">
        <v>3228</v>
      </c>
      <c r="D5" s="22" t="s">
        <v>3234</v>
      </c>
      <c r="E5" s="22" t="s">
        <v>3235</v>
      </c>
      <c r="F5" s="22" t="s">
        <v>3236</v>
      </c>
      <c r="G5" s="22" t="s">
        <v>3237</v>
      </c>
      <c r="H5" s="22" t="str">
        <f aca="false">IF(OR(C5="HIGH",C5="CRITICAL"),"YES","NO")</f>
        <v>NO</v>
      </c>
      <c r="I5" s="22" t="str">
        <f aca="false">IF(H5="YES","ESCALATE","MONITOR")</f>
        <v>MONITOR</v>
      </c>
      <c r="J5" s="22" t="str">
        <f aca="false">IF(OR(H5="YES",H5="NO"),"PASS","FAIL")</f>
        <v>PASS</v>
      </c>
    </row>
    <row r="6" customFormat="false" ht="26.25" hidden="false" customHeight="true" outlineLevel="0" collapsed="false">
      <c r="A6" s="22" t="s">
        <v>2232</v>
      </c>
      <c r="B6" s="22" t="s">
        <v>3238</v>
      </c>
      <c r="C6" s="22" t="s">
        <v>3239</v>
      </c>
      <c r="D6" s="22" t="s">
        <v>3240</v>
      </c>
      <c r="E6" s="22" t="s">
        <v>3241</v>
      </c>
      <c r="F6" s="22" t="s">
        <v>3242</v>
      </c>
      <c r="G6" s="22" t="s">
        <v>3243</v>
      </c>
      <c r="H6" s="22" t="str">
        <f aca="false">IF(OR(C6="HIGH",C6="CRITICAL"),"YES","NO")</f>
        <v>NO</v>
      </c>
      <c r="I6" s="22" t="str">
        <f aca="false">IF(H6="YES","ESCALATE","MONITOR")</f>
        <v>MONITOR</v>
      </c>
      <c r="J6" s="22" t="str">
        <f aca="false">IF(OR(H6="YES",H6="NO"),"PASS","FAIL")</f>
        <v>PASS</v>
      </c>
    </row>
    <row r="7" customFormat="false" ht="26.25" hidden="false" customHeight="true" outlineLevel="0" collapsed="false">
      <c r="A7" s="22" t="s">
        <v>2234</v>
      </c>
      <c r="B7" s="22" t="s">
        <v>3244</v>
      </c>
      <c r="C7" s="22" t="s">
        <v>3239</v>
      </c>
      <c r="D7" s="22" t="s">
        <v>3245</v>
      </c>
      <c r="E7" s="22" t="s">
        <v>3246</v>
      </c>
      <c r="F7" s="22" t="s">
        <v>3247</v>
      </c>
      <c r="G7" s="22" t="s">
        <v>2513</v>
      </c>
      <c r="H7" s="22" t="str">
        <f aca="false">IF(OR(C7="HIGH",C7="CRITICAL"),"YES","NO")</f>
        <v>NO</v>
      </c>
      <c r="I7" s="22" t="str">
        <f aca="false">IF(H7="YES","ESCALATE","MONITOR")</f>
        <v>MONITOR</v>
      </c>
      <c r="J7" s="22" t="str">
        <f aca="false">IF(OR(H7="YES",H7="NO"),"PASS","FAIL")</f>
        <v>PASS</v>
      </c>
    </row>
    <row r="8" customFormat="false" ht="26.25" hidden="false" customHeight="true" outlineLevel="0" collapsed="false">
      <c r="A8" s="22" t="s">
        <v>2235</v>
      </c>
      <c r="B8" s="22" t="s">
        <v>3248</v>
      </c>
      <c r="C8" s="22" t="s">
        <v>3239</v>
      </c>
      <c r="D8" s="22" t="s">
        <v>3249</v>
      </c>
      <c r="E8" s="22" t="s">
        <v>3250</v>
      </c>
      <c r="F8" s="22" t="s">
        <v>3251</v>
      </c>
      <c r="G8" s="22" t="s">
        <v>3252</v>
      </c>
      <c r="H8" s="22" t="str">
        <f aca="false">IF(OR(C8="HIGH",C8="CRITICAL"),"YES","NO")</f>
        <v>NO</v>
      </c>
      <c r="I8" s="22" t="str">
        <f aca="false">IF(H8="YES","ESCALATE","MONITOR")</f>
        <v>MONITOR</v>
      </c>
      <c r="J8" s="22" t="str">
        <f aca="false">IF(OR(H8="YES",H8="NO"),"PASS","FAIL")</f>
        <v>PASS</v>
      </c>
    </row>
    <row r="9" customFormat="false" ht="26.25" hidden="false" customHeight="true" outlineLevel="0" collapsed="false">
      <c r="A9" s="22" t="s">
        <v>2236</v>
      </c>
      <c r="B9" s="22" t="s">
        <v>3253</v>
      </c>
      <c r="C9" s="22" t="s">
        <v>3239</v>
      </c>
      <c r="D9" s="22" t="s">
        <v>3254</v>
      </c>
      <c r="E9" s="22" t="s">
        <v>3255</v>
      </c>
      <c r="F9" s="22" t="s">
        <v>3256</v>
      </c>
      <c r="G9" s="22" t="s">
        <v>3257</v>
      </c>
      <c r="H9" s="22" t="str">
        <f aca="false">IF(OR(C9="HIGH",C9="CRITICAL"),"YES","NO")</f>
        <v>NO</v>
      </c>
      <c r="I9" s="22" t="str">
        <f aca="false">IF(H9="YES","ESCALATE","MONITOR")</f>
        <v>MONITOR</v>
      </c>
      <c r="J9" s="22" t="str">
        <f aca="false">IF(OR(H9="YES",H9="NO"),"PASS","FAIL")</f>
        <v>PASS</v>
      </c>
    </row>
    <row r="10" customFormat="false" ht="26.25" hidden="false" customHeight="true" outlineLevel="0" collapsed="false">
      <c r="A10" s="22" t="s">
        <v>2237</v>
      </c>
      <c r="B10" s="22" t="s">
        <v>3258</v>
      </c>
      <c r="C10" s="22" t="s">
        <v>3259</v>
      </c>
      <c r="D10" s="22" t="s">
        <v>3260</v>
      </c>
      <c r="E10" s="22" t="s">
        <v>3261</v>
      </c>
      <c r="F10" s="22" t="s">
        <v>3262</v>
      </c>
      <c r="G10" s="22" t="s">
        <v>3263</v>
      </c>
      <c r="H10" s="22" t="str">
        <f aca="false">IF(OR(C10="HIGH",C10="CRITICAL"),"YES","NO")</f>
        <v>NO</v>
      </c>
      <c r="I10" s="22" t="str">
        <f aca="false">IF(H10="YES","ESCALATE","MONITOR")</f>
        <v>MONITOR</v>
      </c>
      <c r="J10" s="22" t="str">
        <f aca="false">IF(OR(H10="YES",H10="NO"),"PASS","FAIL")</f>
        <v>PASS</v>
      </c>
    </row>
    <row r="11" customFormat="false" ht="39" hidden="false" customHeight="true" outlineLevel="0" collapsed="false">
      <c r="A11" s="22" t="s">
        <v>3084</v>
      </c>
      <c r="B11" s="22" t="s">
        <v>3264</v>
      </c>
      <c r="C11" s="22"/>
      <c r="D11" s="22"/>
      <c r="E11" s="22"/>
      <c r="F11" s="22"/>
      <c r="G11" s="5"/>
      <c r="H11" s="5"/>
      <c r="I11" s="5"/>
      <c r="J11" s="5"/>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1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34"/>
    <col collapsed="false" customWidth="true" hidden="false" outlineLevel="0" max="4" min="2" style="1" width="36"/>
    <col collapsed="false" customWidth="true" hidden="false" outlineLevel="0" max="5" min="5" style="2" width="10"/>
    <col collapsed="false" customWidth="true" hidden="false" outlineLevel="0" max="6" min="6" style="2" width="22"/>
    <col collapsed="false" customWidth="true" hidden="false" outlineLevel="0" max="8" min="7" style="2" width="36"/>
  </cols>
  <sheetData>
    <row r="1" customFormat="false" ht="12.75" hidden="false" customHeight="true" outlineLevel="0" collapsed="false">
      <c r="A1" s="21" t="s">
        <v>3265</v>
      </c>
      <c r="B1" s="21"/>
      <c r="C1" s="21"/>
      <c r="D1" s="21"/>
      <c r="E1" s="3"/>
      <c r="F1" s="3"/>
      <c r="G1" s="3"/>
      <c r="H1" s="3"/>
    </row>
    <row r="2" customFormat="false" ht="12.75" hidden="false" customHeight="true" outlineLevel="0" collapsed="false">
      <c r="A2" s="111" t="s">
        <v>3266</v>
      </c>
      <c r="B2" s="111" t="s">
        <v>3267</v>
      </c>
      <c r="C2" s="111" t="s">
        <v>3268</v>
      </c>
      <c r="D2" s="111" t="s">
        <v>46</v>
      </c>
      <c r="E2" s="5"/>
      <c r="F2" s="22" t="s">
        <v>3269</v>
      </c>
      <c r="G2" s="22" t="s">
        <v>3270</v>
      </c>
      <c r="H2" s="22" t="s">
        <v>244</v>
      </c>
    </row>
    <row r="3" customFormat="false" ht="12.75" hidden="false" customHeight="true" outlineLevel="0" collapsed="false">
      <c r="A3" s="22" t="s">
        <v>3271</v>
      </c>
      <c r="B3" s="22" t="s">
        <v>3272</v>
      </c>
      <c r="C3" s="22" t="s">
        <v>3273</v>
      </c>
      <c r="D3" s="22" t="s">
        <v>3274</v>
      </c>
      <c r="E3" s="5"/>
      <c r="F3" s="22" t="s">
        <v>3275</v>
      </c>
      <c r="G3" s="22" t="s">
        <v>3276</v>
      </c>
      <c r="H3" s="22" t="str">
        <f aca="false">IF(COUNTA(A3:A10)=8,"PASS","FAIL")</f>
        <v>PASS</v>
      </c>
    </row>
    <row r="4" customFormat="false" ht="12.75" hidden="false" customHeight="true" outlineLevel="0" collapsed="false">
      <c r="A4" s="22" t="s">
        <v>3277</v>
      </c>
      <c r="B4" s="22" t="s">
        <v>3278</v>
      </c>
      <c r="C4" s="22" t="s">
        <v>3279</v>
      </c>
      <c r="D4" s="22" t="s">
        <v>3280</v>
      </c>
      <c r="E4" s="5"/>
      <c r="F4" s="22" t="s">
        <v>3281</v>
      </c>
      <c r="G4" s="22" t="s">
        <v>3282</v>
      </c>
      <c r="H4" s="22" t="str">
        <f aca="false">IF(COUNTA(PCC!A190:A204)&gt;=8,"PASS","FAIL")</f>
        <v>PASS</v>
      </c>
    </row>
    <row r="5" customFormat="false" ht="12.75" hidden="false" customHeight="true" outlineLevel="0" collapsed="false">
      <c r="A5" s="22" t="s">
        <v>3283</v>
      </c>
      <c r="B5" s="22" t="s">
        <v>3284</v>
      </c>
      <c r="C5" s="22" t="s">
        <v>3285</v>
      </c>
      <c r="D5" s="22" t="s">
        <v>3286</v>
      </c>
      <c r="E5" s="5"/>
      <c r="F5" s="22" t="s">
        <v>46</v>
      </c>
      <c r="G5" s="22" t="s">
        <v>3287</v>
      </c>
      <c r="H5" s="22" t="s">
        <v>348</v>
      </c>
    </row>
    <row r="6" customFormat="false" ht="12.75" hidden="false" customHeight="true" outlineLevel="0" collapsed="false">
      <c r="A6" s="22" t="s">
        <v>3288</v>
      </c>
      <c r="B6" s="22" t="s">
        <v>3289</v>
      </c>
      <c r="C6" s="22" t="s">
        <v>3290</v>
      </c>
      <c r="D6" s="22" t="s">
        <v>3291</v>
      </c>
      <c r="E6" s="5"/>
      <c r="F6" s="5"/>
      <c r="G6" s="5"/>
      <c r="H6" s="5"/>
    </row>
    <row r="7" customFormat="false" ht="12.75" hidden="false" customHeight="true" outlineLevel="0" collapsed="false">
      <c r="A7" s="22" t="s">
        <v>1118</v>
      </c>
      <c r="B7" s="22" t="s">
        <v>3292</v>
      </c>
      <c r="C7" s="22" t="s">
        <v>3293</v>
      </c>
      <c r="D7" s="22" t="s">
        <v>3294</v>
      </c>
      <c r="E7" s="5"/>
      <c r="F7" s="5"/>
      <c r="G7" s="5"/>
      <c r="H7" s="5"/>
    </row>
    <row r="8" customFormat="false" ht="12.75" hidden="false" customHeight="true" outlineLevel="0" collapsed="false">
      <c r="A8" s="22" t="s">
        <v>3295</v>
      </c>
      <c r="B8" s="22" t="s">
        <v>3296</v>
      </c>
      <c r="C8" s="22" t="s">
        <v>3297</v>
      </c>
      <c r="D8" s="22" t="s">
        <v>3298</v>
      </c>
      <c r="E8" s="5"/>
      <c r="F8" s="5"/>
      <c r="G8" s="5"/>
      <c r="H8" s="5"/>
    </row>
    <row r="9" customFormat="false" ht="12.75" hidden="false" customHeight="true" outlineLevel="0" collapsed="false">
      <c r="A9" s="22" t="s">
        <v>3299</v>
      </c>
      <c r="B9" s="22" t="s">
        <v>3300</v>
      </c>
      <c r="C9" s="22" t="s">
        <v>3301</v>
      </c>
      <c r="D9" s="22" t="s">
        <v>3302</v>
      </c>
      <c r="E9" s="5"/>
      <c r="F9" s="5"/>
      <c r="G9" s="5"/>
      <c r="H9" s="5"/>
    </row>
    <row r="10" customFormat="false" ht="12.75" hidden="false" customHeight="true" outlineLevel="0" collapsed="false">
      <c r="A10" s="22" t="s">
        <v>3303</v>
      </c>
      <c r="B10" s="22" t="s">
        <v>3304</v>
      </c>
      <c r="C10" s="22" t="s">
        <v>3305</v>
      </c>
      <c r="D10" s="22" t="s">
        <v>3306</v>
      </c>
      <c r="E10" s="5"/>
      <c r="F10" s="5"/>
      <c r="G10" s="5"/>
      <c r="H10" s="5"/>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6" min="1" style="1" width="36"/>
    <col collapsed="false" customWidth="true" hidden="false" outlineLevel="0" max="7" min="7" style="2" width="36"/>
    <col collapsed="false" customWidth="true" hidden="false" outlineLevel="0" max="8" min="8" style="2" width="32"/>
    <col collapsed="false" customWidth="true" hidden="false" outlineLevel="0" max="9" min="9" style="2" width="36"/>
  </cols>
  <sheetData>
    <row r="1" customFormat="false" ht="26.25" hidden="false" customHeight="true" outlineLevel="0" collapsed="false">
      <c r="A1" s="21" t="s">
        <v>3307</v>
      </c>
      <c r="B1" s="21"/>
      <c r="C1" s="21"/>
      <c r="D1" s="21"/>
      <c r="E1" s="21"/>
      <c r="F1" s="21"/>
      <c r="G1" s="3"/>
      <c r="H1" s="3"/>
      <c r="I1" s="3"/>
    </row>
    <row r="2" customFormat="false" ht="12.75" hidden="false" customHeight="true" outlineLevel="0" collapsed="false">
      <c r="A2" s="111" t="s">
        <v>3308</v>
      </c>
      <c r="B2" s="111" t="s">
        <v>3309</v>
      </c>
      <c r="C2" s="111" t="s">
        <v>3310</v>
      </c>
      <c r="D2" s="111" t="s">
        <v>3311</v>
      </c>
      <c r="E2" s="111" t="s">
        <v>3312</v>
      </c>
      <c r="F2" s="111" t="s">
        <v>3313</v>
      </c>
      <c r="G2" s="22" t="s">
        <v>3314</v>
      </c>
      <c r="H2" s="22" t="s">
        <v>3315</v>
      </c>
      <c r="I2" s="22" t="s">
        <v>3226</v>
      </c>
    </row>
    <row r="3" customFormat="false" ht="12.75" hidden="false" customHeight="true" outlineLevel="0" collapsed="false">
      <c r="A3" s="22" t="s">
        <v>3316</v>
      </c>
      <c r="B3" s="22" t="s">
        <v>3317</v>
      </c>
      <c r="C3" s="22" t="s">
        <v>3318</v>
      </c>
      <c r="D3" s="22" t="s">
        <v>3319</v>
      </c>
      <c r="E3" s="22" t="s">
        <v>3320</v>
      </c>
      <c r="F3" s="22" t="s">
        <v>3321</v>
      </c>
      <c r="G3" s="22" t="str">
        <f aca="false">IF(COUNTA(A3:F3)&gt;=6,"DEFINED","INCOMPLETE")</f>
        <v>DEFINED</v>
      </c>
      <c r="H3" s="22" t="str">
        <f aca="false">IF(F3&lt;&gt;"","YES","NO")</f>
        <v>YES</v>
      </c>
      <c r="I3" s="22" t="str">
        <f aca="false">IF(AND(G3="DEFINED",H3="YES"),"PASS","FAIL")</f>
        <v>PASS</v>
      </c>
    </row>
    <row r="4" customFormat="false" ht="12.75" hidden="false" customHeight="true" outlineLevel="0" collapsed="false">
      <c r="A4" s="22" t="s">
        <v>3322</v>
      </c>
      <c r="B4" s="22" t="s">
        <v>3323</v>
      </c>
      <c r="C4" s="22" t="s">
        <v>3324</v>
      </c>
      <c r="D4" s="22" t="s">
        <v>3325</v>
      </c>
      <c r="E4" s="22" t="s">
        <v>3326</v>
      </c>
      <c r="F4" s="22" t="s">
        <v>3327</v>
      </c>
      <c r="G4" s="22" t="str">
        <f aca="false">IF(COUNTA(A4:F4)&gt;=6,"DEFINED","INCOMPLETE")</f>
        <v>DEFINED</v>
      </c>
      <c r="H4" s="22" t="str">
        <f aca="false">IF(F4&lt;&gt;"","YES","NO")</f>
        <v>YES</v>
      </c>
      <c r="I4" s="22" t="str">
        <f aca="false">IF(AND(G4="DEFINED",H4="YES"),"PASS","FAIL")</f>
        <v>PASS</v>
      </c>
    </row>
    <row r="5" customFormat="false" ht="12.75" hidden="false" customHeight="true" outlineLevel="0" collapsed="false">
      <c r="A5" s="22" t="s">
        <v>3328</v>
      </c>
      <c r="B5" s="22" t="s">
        <v>3329</v>
      </c>
      <c r="C5" s="22" t="s">
        <v>3330</v>
      </c>
      <c r="D5" s="22" t="s">
        <v>3331</v>
      </c>
      <c r="E5" s="22" t="s">
        <v>3332</v>
      </c>
      <c r="F5" s="22" t="s">
        <v>3333</v>
      </c>
      <c r="G5" s="22" t="str">
        <f aca="false">IF(COUNTA(A5:F5)&gt;=6,"DEFINED","INCOMPLETE")</f>
        <v>DEFINED</v>
      </c>
      <c r="H5" s="22" t="str">
        <f aca="false">IF(F5&lt;&gt;"","YES","NO")</f>
        <v>YES</v>
      </c>
      <c r="I5" s="22" t="str">
        <f aca="false">IF(AND(G5="DEFINED",H5="YES"),"PASS","FAIL")</f>
        <v>PASS</v>
      </c>
    </row>
    <row r="6" customFormat="false" ht="12.75" hidden="false" customHeight="true" outlineLevel="0" collapsed="false">
      <c r="A6" s="22" t="s">
        <v>3334</v>
      </c>
      <c r="B6" s="22" t="s">
        <v>3335</v>
      </c>
      <c r="C6" s="22" t="s">
        <v>3336</v>
      </c>
      <c r="D6" s="22" t="s">
        <v>3337</v>
      </c>
      <c r="E6" s="22" t="s">
        <v>3338</v>
      </c>
      <c r="F6" s="22" t="s">
        <v>3339</v>
      </c>
      <c r="G6" s="22" t="str">
        <f aca="false">IF(COUNTA(A6:F6)&gt;=6,"DEFINED","INCOMPLETE")</f>
        <v>DEFINED</v>
      </c>
      <c r="H6" s="22" t="str">
        <f aca="false">IF(F6&lt;&gt;"","YES","NO")</f>
        <v>YES</v>
      </c>
      <c r="I6" s="22" t="str">
        <f aca="false">IF(AND(G6="DEFINED",H6="YES"),"PASS","FAIL")</f>
        <v>PASS</v>
      </c>
    </row>
    <row r="7" customFormat="false" ht="12.75" hidden="false" customHeight="true" outlineLevel="0" collapsed="false">
      <c r="A7" s="22" t="s">
        <v>3340</v>
      </c>
      <c r="B7" s="22" t="s">
        <v>3341</v>
      </c>
      <c r="C7" s="22" t="s">
        <v>3342</v>
      </c>
      <c r="D7" s="22" t="s">
        <v>3343</v>
      </c>
      <c r="E7" s="22" t="s">
        <v>3344</v>
      </c>
      <c r="F7" s="22" t="s">
        <v>3345</v>
      </c>
      <c r="G7" s="22" t="str">
        <f aca="false">IF(COUNTA(A7:F7)&gt;=6,"DEFINED","INCOMPLETE")</f>
        <v>DEFINED</v>
      </c>
      <c r="H7" s="22" t="str">
        <f aca="false">IF(F7&lt;&gt;"","YES","NO")</f>
        <v>YES</v>
      </c>
      <c r="I7" s="22" t="str">
        <f aca="false">IF(AND(G7="DEFINED",H7="YES"),"PASS","FAIL")</f>
        <v>PASS</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1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4" min="1" style="1" width="36"/>
    <col collapsed="false" customWidth="true" hidden="false" outlineLevel="0" max="5" min="5" style="2" width="29"/>
  </cols>
  <sheetData>
    <row r="1" customFormat="false" ht="26.25" hidden="false" customHeight="true" outlineLevel="0" collapsed="false">
      <c r="A1" s="21" t="s">
        <v>3346</v>
      </c>
      <c r="B1" s="21"/>
      <c r="C1" s="21"/>
      <c r="D1" s="21"/>
      <c r="E1" s="3"/>
    </row>
    <row r="2" customFormat="false" ht="12.75" hidden="false" customHeight="true" outlineLevel="0" collapsed="false">
      <c r="A2" s="111" t="s">
        <v>3347</v>
      </c>
      <c r="B2" s="111" t="s">
        <v>3267</v>
      </c>
      <c r="C2" s="111" t="s">
        <v>3348</v>
      </c>
      <c r="D2" s="111" t="s">
        <v>3349</v>
      </c>
      <c r="E2" s="5"/>
    </row>
    <row r="3" customFormat="false" ht="12.75" hidden="false" customHeight="true" outlineLevel="0" collapsed="false">
      <c r="A3" s="22" t="s">
        <v>3350</v>
      </c>
      <c r="B3" s="22" t="s">
        <v>3351</v>
      </c>
      <c r="C3" s="22" t="s">
        <v>3352</v>
      </c>
      <c r="D3" s="22" t="s">
        <v>3353</v>
      </c>
      <c r="E3" s="5"/>
    </row>
    <row r="4" customFormat="false" ht="12.75" hidden="false" customHeight="true" outlineLevel="0" collapsed="false">
      <c r="A4" s="22" t="s">
        <v>3354</v>
      </c>
      <c r="B4" s="22" t="s">
        <v>3355</v>
      </c>
      <c r="C4" s="22" t="s">
        <v>3356</v>
      </c>
      <c r="D4" s="22" t="s">
        <v>3357</v>
      </c>
      <c r="E4" s="5"/>
    </row>
    <row r="5" customFormat="false" ht="12.75" hidden="false" customHeight="true" outlineLevel="0" collapsed="false">
      <c r="A5" s="22" t="s">
        <v>3358</v>
      </c>
      <c r="B5" s="22" t="s">
        <v>3359</v>
      </c>
      <c r="C5" s="22" t="s">
        <v>3360</v>
      </c>
      <c r="D5" s="22" t="s">
        <v>3357</v>
      </c>
      <c r="E5" s="5"/>
    </row>
    <row r="6" customFormat="false" ht="12.75" hidden="false" customHeight="true" outlineLevel="0" collapsed="false">
      <c r="A6" s="22" t="s">
        <v>3361</v>
      </c>
      <c r="B6" s="22" t="s">
        <v>3362</v>
      </c>
      <c r="C6" s="22" t="s">
        <v>3363</v>
      </c>
      <c r="D6" s="22" t="s">
        <v>3364</v>
      </c>
      <c r="E6" s="5"/>
    </row>
    <row r="7" customFormat="false" ht="12.75" hidden="false" customHeight="true" outlineLevel="0" collapsed="false">
      <c r="A7" s="22" t="s">
        <v>3365</v>
      </c>
      <c r="B7" s="22" t="s">
        <v>3366</v>
      </c>
      <c r="C7" s="22" t="s">
        <v>3367</v>
      </c>
      <c r="D7" s="22" t="s">
        <v>3368</v>
      </c>
      <c r="E7" s="5"/>
    </row>
    <row r="8" customFormat="false" ht="12.75" hidden="false" customHeight="false" outlineLevel="0" collapsed="false">
      <c r="A8" s="5"/>
      <c r="B8" s="5"/>
      <c r="C8" s="5"/>
      <c r="D8" s="5"/>
      <c r="E8" s="5"/>
    </row>
    <row r="9" customFormat="false" ht="12.75" hidden="false" customHeight="true" outlineLevel="0" collapsed="false">
      <c r="A9" s="22" t="s">
        <v>3369</v>
      </c>
      <c r="B9" s="22" t="s">
        <v>353</v>
      </c>
      <c r="C9" s="22" t="s">
        <v>3370</v>
      </c>
      <c r="D9" s="22" t="s">
        <v>3371</v>
      </c>
      <c r="E9" s="22" t="s">
        <v>244</v>
      </c>
    </row>
    <row r="10" customFormat="false" ht="12.75" hidden="false" customHeight="true" outlineLevel="0" collapsed="false">
      <c r="A10" s="22" t="s">
        <v>3372</v>
      </c>
      <c r="B10" s="22" t="s">
        <v>3373</v>
      </c>
      <c r="C10" s="22" t="s">
        <v>3374</v>
      </c>
      <c r="D10" s="22" t="s">
        <v>3375</v>
      </c>
      <c r="E10" s="22" t="s">
        <v>348</v>
      </c>
    </row>
    <row r="11" customFormat="false" ht="12.75" hidden="false" customHeight="true" outlineLevel="0" collapsed="false">
      <c r="A11" s="22" t="s">
        <v>2196</v>
      </c>
      <c r="B11" s="22" t="s">
        <v>3376</v>
      </c>
      <c r="C11" s="22" t="s">
        <v>3377</v>
      </c>
      <c r="D11" s="22" t="n">
        <f aca="false">IF(COUNTA(SGP_Input!D13:D18)&gt;0,MIN(SGP_Input!D13:D18),"NOT_EVALUATED")</f>
        <v>1</v>
      </c>
      <c r="E11" s="22" t="str">
        <f aca="false">IF(D11&gt;=1,"PASS","REVIEW")</f>
        <v>PASS</v>
      </c>
    </row>
    <row r="12" customFormat="false" ht="12.75" hidden="false" customHeight="true" outlineLevel="0" collapsed="false">
      <c r="A12" s="22" t="s">
        <v>2198</v>
      </c>
      <c r="B12" s="22" t="s">
        <v>3378</v>
      </c>
      <c r="C12" s="22" t="s">
        <v>3379</v>
      </c>
      <c r="D12" s="22" t="str">
        <f aca="false">"NOT_EVALUATED_PROFILE_ONLY"</f>
        <v>NOT_EVALUATED_PROFILE_ONLY</v>
      </c>
      <c r="E12" s="22" t="str">
        <f aca="false">IF(D12&lt;&gt;"","PASS","FAIL")</f>
        <v>PASS</v>
      </c>
    </row>
    <row r="13" customFormat="false" ht="12.75" hidden="false" customHeight="true" outlineLevel="0" collapsed="false">
      <c r="A13" s="22" t="s">
        <v>2200</v>
      </c>
      <c r="B13" s="22" t="s">
        <v>3380</v>
      </c>
      <c r="C13" s="22" t="s">
        <v>3381</v>
      </c>
      <c r="D13" s="22" t="str">
        <f aca="false">"NOT_EVALUATED_PROFILE_ONLY"</f>
        <v>NOT_EVALUATED_PROFILE_ONLY</v>
      </c>
      <c r="E13" s="22" t="str">
        <f aca="false">IF(D13&lt;&gt;"","PASS","FAIL")</f>
        <v>PASS</v>
      </c>
    </row>
    <row r="14" customFormat="false" ht="12.75" hidden="false" customHeight="false" outlineLevel="0" collapsed="false">
      <c r="A14" s="5"/>
      <c r="B14" s="5"/>
      <c r="C14" s="5"/>
      <c r="D14" s="5"/>
      <c r="E14" s="5"/>
    </row>
    <row r="15" customFormat="false" ht="12.75" hidden="false" customHeight="true" outlineLevel="0" collapsed="false">
      <c r="A15" s="22" t="s">
        <v>3382</v>
      </c>
      <c r="B15" s="22" t="s">
        <v>3383</v>
      </c>
      <c r="C15" s="22" t="s">
        <v>3384</v>
      </c>
      <c r="D15" s="22" t="n">
        <f aca="false">COUNTIF(E11:E13,"PASS")</f>
        <v>3</v>
      </c>
      <c r="E15" s="22" t="str">
        <f aca="false">IF(D15=3,"PASS","FAIL")</f>
        <v>PASS</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1" min="1" style="1" width="36"/>
    <col collapsed="false" customWidth="true" hidden="false" outlineLevel="0" max="2" min="2" style="1" width="33"/>
    <col collapsed="false" customWidth="true" hidden="false" outlineLevel="0" max="4" min="3" style="1" width="36"/>
    <col collapsed="false" customWidth="true" hidden="false" outlineLevel="0" max="5" min="5" style="2" width="13"/>
    <col collapsed="false" customWidth="true" hidden="false" outlineLevel="0" max="6" min="6" style="2" width="30"/>
    <col collapsed="false" customWidth="true" hidden="false" outlineLevel="0" max="7" min="7" style="2" width="36"/>
  </cols>
  <sheetData>
    <row r="1" customFormat="false" ht="26.25" hidden="false" customHeight="true" outlineLevel="0" collapsed="false">
      <c r="A1" s="21" t="s">
        <v>3385</v>
      </c>
      <c r="B1" s="21"/>
      <c r="C1" s="21"/>
      <c r="D1" s="21"/>
      <c r="E1" s="3"/>
      <c r="F1" s="3"/>
      <c r="G1" s="3"/>
    </row>
    <row r="2" customFormat="false" ht="12.75" hidden="false" customHeight="true" outlineLevel="0" collapsed="false">
      <c r="A2" s="111" t="s">
        <v>3386</v>
      </c>
      <c r="B2" s="111" t="s">
        <v>3387</v>
      </c>
      <c r="C2" s="111" t="s">
        <v>3388</v>
      </c>
      <c r="D2" s="111" t="s">
        <v>3389</v>
      </c>
      <c r="E2" s="22" t="s">
        <v>3390</v>
      </c>
      <c r="F2" s="22" t="s">
        <v>3391</v>
      </c>
      <c r="G2" s="22" t="s">
        <v>244</v>
      </c>
    </row>
    <row r="3" customFormat="false" ht="12.75" hidden="false" customHeight="true" outlineLevel="0" collapsed="false">
      <c r="A3" s="22" t="n">
        <v>1</v>
      </c>
      <c r="B3" s="22" t="s">
        <v>3392</v>
      </c>
      <c r="C3" s="22" t="s">
        <v>3393</v>
      </c>
      <c r="D3" s="22" t="s">
        <v>3394</v>
      </c>
      <c r="E3" s="22" t="s">
        <v>3395</v>
      </c>
      <c r="F3" s="22" t="s">
        <v>3396</v>
      </c>
      <c r="G3" s="22" t="str">
        <f aca="false">IF(COUNTA(A3:F3)&gt;=6,"DEFINED","INCOMPLETE")</f>
        <v>DEFINED</v>
      </c>
    </row>
    <row r="4" customFormat="false" ht="12.75" hidden="false" customHeight="true" outlineLevel="0" collapsed="false">
      <c r="A4" s="22" t="n">
        <v>2</v>
      </c>
      <c r="B4" s="22" t="s">
        <v>3397</v>
      </c>
      <c r="C4" s="22" t="s">
        <v>3398</v>
      </c>
      <c r="D4" s="22" t="s">
        <v>3399</v>
      </c>
      <c r="E4" s="22" t="s">
        <v>3395</v>
      </c>
      <c r="F4" s="22" t="s">
        <v>3396</v>
      </c>
      <c r="G4" s="22" t="str">
        <f aca="false">IF(COUNTA(A4:F4)&gt;=6,"DEFINED","INCOMPLETE")</f>
        <v>DEFINED</v>
      </c>
    </row>
    <row r="5" customFormat="false" ht="12.75" hidden="false" customHeight="true" outlineLevel="0" collapsed="false">
      <c r="A5" s="22" t="n">
        <v>3</v>
      </c>
      <c r="B5" s="22" t="s">
        <v>3400</v>
      </c>
      <c r="C5" s="22" t="s">
        <v>3401</v>
      </c>
      <c r="D5" s="22" t="s">
        <v>3402</v>
      </c>
      <c r="E5" s="22" t="s">
        <v>3395</v>
      </c>
      <c r="F5" s="22" t="s">
        <v>3396</v>
      </c>
      <c r="G5" s="22" t="str">
        <f aca="false">IF(COUNTA(A5:F5)&gt;=6,"DEFINED","INCOMPLETE")</f>
        <v>DEFINED</v>
      </c>
    </row>
    <row r="6" customFormat="false" ht="12.75" hidden="false" customHeight="true" outlineLevel="0" collapsed="false">
      <c r="A6" s="22" t="n">
        <v>4</v>
      </c>
      <c r="B6" s="22" t="s">
        <v>3403</v>
      </c>
      <c r="C6" s="22" t="s">
        <v>3404</v>
      </c>
      <c r="D6" s="22" t="s">
        <v>3405</v>
      </c>
      <c r="E6" s="22" t="s">
        <v>3406</v>
      </c>
      <c r="F6" s="22" t="s">
        <v>3396</v>
      </c>
      <c r="G6" s="22" t="str">
        <f aca="false">IF(COUNTA(A6:F6)&gt;=6,"DEFINED","INCOMPLETE")</f>
        <v>DEFINED</v>
      </c>
    </row>
    <row r="7" customFormat="false" ht="12.75" hidden="false" customHeight="true" outlineLevel="0" collapsed="false">
      <c r="A7" s="22" t="n">
        <v>5</v>
      </c>
      <c r="B7" s="22" t="s">
        <v>3407</v>
      </c>
      <c r="C7" s="22" t="s">
        <v>3408</v>
      </c>
      <c r="D7" s="22" t="s">
        <v>3409</v>
      </c>
      <c r="E7" s="22" t="s">
        <v>3406</v>
      </c>
      <c r="F7" s="22" t="s">
        <v>3396</v>
      </c>
      <c r="G7" s="22" t="str">
        <f aca="false">IF(COUNTA(A7:F7)&gt;=6,"DEFINED","INCOMPLETE")</f>
        <v>DEFINED</v>
      </c>
    </row>
    <row r="8" customFormat="false" ht="12.75" hidden="false" customHeight="true" outlineLevel="0" collapsed="false">
      <c r="A8" s="22" t="n">
        <v>6</v>
      </c>
      <c r="B8" s="22" t="s">
        <v>3410</v>
      </c>
      <c r="C8" s="22" t="s">
        <v>3411</v>
      </c>
      <c r="D8" s="22" t="s">
        <v>3412</v>
      </c>
      <c r="E8" s="22" t="s">
        <v>3406</v>
      </c>
      <c r="F8" s="22" t="s">
        <v>3396</v>
      </c>
      <c r="G8" s="22" t="str">
        <f aca="false">IF(COUNTA(A8:F8)&gt;=6,"DEFINED","INCOMPLETE")</f>
        <v>DEFINED</v>
      </c>
    </row>
    <row r="9" customFormat="false" ht="12.75" hidden="false" customHeight="true" outlineLevel="0" collapsed="false">
      <c r="A9" s="22" t="n">
        <v>7</v>
      </c>
      <c r="B9" s="22" t="s">
        <v>3413</v>
      </c>
      <c r="C9" s="22" t="s">
        <v>3414</v>
      </c>
      <c r="D9" s="22" t="s">
        <v>3415</v>
      </c>
      <c r="E9" s="22" t="s">
        <v>3406</v>
      </c>
      <c r="F9" s="22" t="s">
        <v>3396</v>
      </c>
      <c r="G9" s="22" t="str">
        <f aca="false">IF(COUNTA(A9:F9)&gt;=6,"DEFINED","INCOMPLETE")</f>
        <v>DEFINED</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2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2.75" customHeight="true" zeroHeight="false" outlineLevelRow="0" outlineLevelCol="0"/>
  <cols>
    <col collapsed="false" customWidth="true" hidden="false" outlineLevel="0" max="4" min="1" style="1" width="36"/>
  </cols>
  <sheetData>
    <row r="1" customFormat="false" ht="51.75" hidden="false" customHeight="true" outlineLevel="0" collapsed="false">
      <c r="A1" s="21" t="s">
        <v>3416</v>
      </c>
      <c r="B1" s="21"/>
      <c r="C1" s="21"/>
      <c r="D1" s="21"/>
    </row>
    <row r="2" customFormat="false" ht="12.75" hidden="false" customHeight="true" outlineLevel="0" collapsed="false">
      <c r="A2" s="22" t="s">
        <v>3417</v>
      </c>
      <c r="B2" s="22" t="s">
        <v>2593</v>
      </c>
      <c r="C2" s="22"/>
      <c r="D2" s="22"/>
    </row>
    <row r="3" customFormat="false" ht="26.25" hidden="false" customHeight="true" outlineLevel="0" collapsed="false">
      <c r="A3" s="22" t="s">
        <v>3418</v>
      </c>
      <c r="B3" s="22" t="s">
        <v>3419</v>
      </c>
      <c r="C3" s="22"/>
      <c r="D3" s="22"/>
    </row>
    <row r="4" customFormat="false" ht="39" hidden="false" customHeight="true" outlineLevel="0" collapsed="false">
      <c r="A4" s="22" t="s">
        <v>3420</v>
      </c>
      <c r="B4" s="22" t="s">
        <v>3421</v>
      </c>
      <c r="C4" s="22"/>
      <c r="D4" s="22"/>
    </row>
    <row r="5" customFormat="false" ht="12.75" hidden="false" customHeight="true" outlineLevel="0" collapsed="false">
      <c r="A5" s="22"/>
      <c r="B5" s="22"/>
      <c r="C5" s="22"/>
      <c r="D5" s="22"/>
    </row>
    <row r="6" customFormat="false" ht="12.75" hidden="false" customHeight="true" outlineLevel="0" collapsed="false">
      <c r="A6" s="128" t="s">
        <v>3422</v>
      </c>
      <c r="B6" s="128" t="s">
        <v>3423</v>
      </c>
      <c r="C6" s="128" t="s">
        <v>1559</v>
      </c>
      <c r="D6" s="128" t="s">
        <v>3424</v>
      </c>
    </row>
    <row r="7" customFormat="false" ht="52.5" hidden="false" customHeight="true" outlineLevel="0" collapsed="false">
      <c r="A7" s="22" t="s">
        <v>3425</v>
      </c>
      <c r="B7" s="22" t="s">
        <v>3426</v>
      </c>
      <c r="C7" s="22" t="s">
        <v>3427</v>
      </c>
      <c r="D7" s="22" t="s">
        <v>3428</v>
      </c>
    </row>
    <row r="8" customFormat="false" ht="66" hidden="false" customHeight="true" outlineLevel="0" collapsed="false">
      <c r="A8" s="22" t="s">
        <v>3429</v>
      </c>
      <c r="B8" s="22" t="s">
        <v>3430</v>
      </c>
      <c r="C8" s="22" t="s">
        <v>348</v>
      </c>
      <c r="D8" s="22" t="s">
        <v>3431</v>
      </c>
    </row>
    <row r="9" customFormat="false" ht="78.75" hidden="false" customHeight="true" outlineLevel="0" collapsed="false">
      <c r="A9" s="22" t="s">
        <v>3432</v>
      </c>
      <c r="B9" s="22" t="s">
        <v>3433</v>
      </c>
      <c r="C9" s="22" t="s">
        <v>3434</v>
      </c>
      <c r="D9" s="22" t="s">
        <v>3435</v>
      </c>
    </row>
    <row r="10" customFormat="false" ht="12.75" hidden="false" customHeight="true" outlineLevel="0" collapsed="false">
      <c r="A10" s="22"/>
      <c r="B10" s="22"/>
      <c r="C10" s="22"/>
      <c r="D10" s="22"/>
    </row>
    <row r="11" customFormat="false" ht="12.75" hidden="false" customHeight="true" outlineLevel="0" collapsed="false">
      <c r="A11" s="128" t="s">
        <v>3436</v>
      </c>
      <c r="B11" s="128" t="s">
        <v>1770</v>
      </c>
      <c r="C11" s="128" t="s">
        <v>3437</v>
      </c>
      <c r="D11" s="128" t="s">
        <v>3438</v>
      </c>
    </row>
    <row r="12" customFormat="false" ht="39" hidden="false" customHeight="true" outlineLevel="0" collapsed="false">
      <c r="A12" s="22" t="s">
        <v>3439</v>
      </c>
      <c r="B12" s="22" t="s">
        <v>3440</v>
      </c>
      <c r="C12" s="22" t="s">
        <v>3441</v>
      </c>
      <c r="D12" s="22" t="s">
        <v>3442</v>
      </c>
    </row>
    <row r="13" customFormat="false" ht="39" hidden="false" customHeight="true" outlineLevel="0" collapsed="false">
      <c r="A13" s="22" t="s">
        <v>3443</v>
      </c>
      <c r="B13" s="22" t="s">
        <v>3440</v>
      </c>
      <c r="C13" s="22" t="s">
        <v>3444</v>
      </c>
      <c r="D13" s="22" t="s">
        <v>3442</v>
      </c>
    </row>
    <row r="14" customFormat="false" ht="39" hidden="false" customHeight="true" outlineLevel="0" collapsed="false">
      <c r="A14" s="22" t="s">
        <v>3445</v>
      </c>
      <c r="B14" s="22" t="s">
        <v>3446</v>
      </c>
      <c r="C14" s="22" t="s">
        <v>3447</v>
      </c>
      <c r="D14" s="22" t="s">
        <v>3442</v>
      </c>
    </row>
    <row r="15" customFormat="false" ht="39" hidden="false" customHeight="true" outlineLevel="0" collapsed="false">
      <c r="A15" s="22" t="s">
        <v>3448</v>
      </c>
      <c r="B15" s="22" t="s">
        <v>3446</v>
      </c>
      <c r="C15" s="22" t="s">
        <v>3449</v>
      </c>
      <c r="D15" s="22" t="s">
        <v>3442</v>
      </c>
    </row>
    <row r="16" customFormat="false" ht="39" hidden="false" customHeight="true" outlineLevel="0" collapsed="false">
      <c r="A16" s="22" t="s">
        <v>3450</v>
      </c>
      <c r="B16" s="22" t="s">
        <v>3446</v>
      </c>
      <c r="C16" s="22" t="s">
        <v>3451</v>
      </c>
      <c r="D16" s="22" t="s">
        <v>3442</v>
      </c>
    </row>
    <row r="17" customFormat="false" ht="12.75" hidden="false" customHeight="true" outlineLevel="0" collapsed="false">
      <c r="A17" s="22"/>
      <c r="B17" s="22"/>
      <c r="C17" s="22"/>
      <c r="D17" s="22"/>
    </row>
    <row r="18" customFormat="false" ht="52.5" hidden="false" customHeight="true" outlineLevel="0" collapsed="false">
      <c r="A18" s="22" t="s">
        <v>3452</v>
      </c>
      <c r="B18" s="22" t="s">
        <v>3453</v>
      </c>
      <c r="C18" s="22" t="s">
        <v>3454</v>
      </c>
      <c r="D18" s="22"/>
    </row>
    <row r="19" customFormat="false" ht="12.75" hidden="false" customHeight="true" outlineLevel="0" collapsed="false">
      <c r="A19" s="22"/>
      <c r="B19" s="22"/>
      <c r="C19" s="22"/>
      <c r="D19" s="22"/>
    </row>
    <row r="20" customFormat="false" ht="12.75" hidden="false" customHeight="true" outlineLevel="0" collapsed="false">
      <c r="A20" s="129" t="s">
        <v>3455</v>
      </c>
      <c r="B20" s="129"/>
      <c r="C20" s="129"/>
      <c r="D20" s="129"/>
    </row>
    <row r="21" customFormat="false" ht="90.75" hidden="false" customHeight="true" outlineLevel="0" collapsed="false">
      <c r="A21" s="22" t="s">
        <v>3456</v>
      </c>
      <c r="B21" s="22" t="s">
        <v>3457</v>
      </c>
      <c r="C21" s="22" t="s">
        <v>348</v>
      </c>
      <c r="D21" s="22" t="s">
        <v>3458</v>
      </c>
    </row>
    <row r="22" customFormat="false" ht="34.5" hidden="false" customHeight="true" outlineLevel="0" collapsed="false">
      <c r="A22" s="22" t="s">
        <v>3456</v>
      </c>
      <c r="B22" s="22" t="s">
        <v>3459</v>
      </c>
      <c r="C22" s="22" t="s">
        <v>348</v>
      </c>
      <c r="D22" s="22" t="s">
        <v>3460</v>
      </c>
    </row>
    <row r="23" customFormat="false" ht="45.75" hidden="false" customHeight="true" outlineLevel="0" collapsed="false">
      <c r="A23" s="22" t="s">
        <v>3456</v>
      </c>
      <c r="B23" s="22" t="s">
        <v>3461</v>
      </c>
      <c r="C23" s="22" t="s">
        <v>348</v>
      </c>
      <c r="D23" s="22" t="s">
        <v>3462</v>
      </c>
    </row>
    <row r="24" customFormat="false" ht="45.75" hidden="false" customHeight="true" outlineLevel="0" collapsed="false">
      <c r="A24" s="22" t="s">
        <v>3456</v>
      </c>
      <c r="B24" s="22" t="s">
        <v>3463</v>
      </c>
      <c r="C24" s="22" t="s">
        <v>348</v>
      </c>
      <c r="D24" s="22" t="s">
        <v>3464</v>
      </c>
    </row>
    <row r="25" customFormat="false" ht="12.75" hidden="false" customHeight="true" outlineLevel="0" collapsed="false">
      <c r="A25" s="22"/>
      <c r="B25" s="22"/>
      <c r="C25" s="22"/>
      <c r="D25"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1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1" min="1" style="1" width="36"/>
    <col collapsed="false" customWidth="true" hidden="false" outlineLevel="0" max="2" min="2" style="1" width="27"/>
    <col collapsed="false" customWidth="true" hidden="false" outlineLevel="0" max="3" min="3" style="1" width="36"/>
  </cols>
  <sheetData>
    <row r="1" customFormat="false" ht="23.25" hidden="false" customHeight="true" outlineLevel="0" collapsed="false">
      <c r="A1" s="21" t="s">
        <v>3465</v>
      </c>
      <c r="B1" s="21" t="s">
        <v>244</v>
      </c>
      <c r="C1" s="21" t="s">
        <v>979</v>
      </c>
    </row>
    <row r="2" customFormat="false" ht="15" hidden="false" customHeight="true" outlineLevel="0" collapsed="false">
      <c r="A2" s="22" t="s">
        <v>3466</v>
      </c>
      <c r="B2" s="22" t="s">
        <v>3467</v>
      </c>
      <c r="C2" s="22" t="s">
        <v>3468</v>
      </c>
    </row>
    <row r="3" customFormat="false" ht="15" hidden="false" customHeight="true" outlineLevel="0" collapsed="false">
      <c r="A3" s="22" t="s">
        <v>3469</v>
      </c>
      <c r="B3" s="22" t="s">
        <v>15</v>
      </c>
      <c r="C3" s="22" t="s">
        <v>3470</v>
      </c>
    </row>
    <row r="4" customFormat="false" ht="23.25" hidden="false" customHeight="true" outlineLevel="0" collapsed="false">
      <c r="A4" s="22" t="s">
        <v>1715</v>
      </c>
      <c r="B4" s="22" t="s">
        <v>146</v>
      </c>
      <c r="C4" s="22" t="s">
        <v>3471</v>
      </c>
    </row>
    <row r="5" customFormat="false" ht="15" hidden="false" customHeight="true" outlineLevel="0" collapsed="false">
      <c r="A5" s="22" t="s">
        <v>1717</v>
      </c>
      <c r="B5" s="22" t="s">
        <v>146</v>
      </c>
      <c r="C5" s="22" t="s">
        <v>3472</v>
      </c>
    </row>
    <row r="6" customFormat="false" ht="23.25" hidden="false" customHeight="true" outlineLevel="0" collapsed="false">
      <c r="A6" s="22" t="s">
        <v>3473</v>
      </c>
      <c r="B6" s="22" t="s">
        <v>146</v>
      </c>
      <c r="C6" s="22" t="s">
        <v>3474</v>
      </c>
    </row>
    <row r="7" customFormat="false" ht="23.25" hidden="false" customHeight="true" outlineLevel="0" collapsed="false">
      <c r="A7" s="22" t="s">
        <v>1721</v>
      </c>
      <c r="B7" s="22" t="s">
        <v>146</v>
      </c>
      <c r="C7" s="22" t="s">
        <v>3475</v>
      </c>
    </row>
    <row r="8" customFormat="false" ht="23.25" hidden="false" customHeight="true" outlineLevel="0" collapsed="false">
      <c r="A8" s="22" t="s">
        <v>3476</v>
      </c>
      <c r="B8" s="22" t="s">
        <v>146</v>
      </c>
      <c r="C8" s="22" t="s">
        <v>3477</v>
      </c>
    </row>
    <row r="9" customFormat="false" ht="23.25" hidden="false" customHeight="true" outlineLevel="0" collapsed="false">
      <c r="A9" s="22" t="s">
        <v>3478</v>
      </c>
      <c r="B9" s="22" t="s">
        <v>146</v>
      </c>
      <c r="C9" s="22" t="s">
        <v>3479</v>
      </c>
    </row>
    <row r="10" customFormat="false" ht="23.25" hidden="false" customHeight="true" outlineLevel="0" collapsed="false">
      <c r="A10" s="22" t="s">
        <v>3480</v>
      </c>
      <c r="B10" s="22" t="s">
        <v>146</v>
      </c>
      <c r="C10" s="22" t="s">
        <v>3481</v>
      </c>
    </row>
    <row r="11" customFormat="false" ht="23.25" hidden="false" customHeight="true" outlineLevel="0" collapsed="false">
      <c r="A11" s="22" t="s">
        <v>3482</v>
      </c>
      <c r="B11" s="22" t="s">
        <v>2191</v>
      </c>
      <c r="C11" s="22" t="s">
        <v>3483</v>
      </c>
    </row>
    <row r="12" customFormat="false" ht="23.25" hidden="false" customHeight="true" outlineLevel="0" collapsed="false">
      <c r="A12" s="22" t="s">
        <v>3484</v>
      </c>
      <c r="B12" s="22" t="s">
        <v>3485</v>
      </c>
      <c r="C12" s="22" t="s">
        <v>3486</v>
      </c>
    </row>
    <row r="13" customFormat="false" ht="15" hidden="false" customHeight="true" outlineLevel="0" collapsed="false">
      <c r="A13" s="22" t="s">
        <v>3487</v>
      </c>
      <c r="B13" s="22" t="s">
        <v>3488</v>
      </c>
      <c r="C13" s="22" t="s">
        <v>3489</v>
      </c>
    </row>
    <row r="14" customFormat="false" ht="15" hidden="false" customHeight="true" outlineLevel="0" collapsed="false">
      <c r="A14" s="22" t="s">
        <v>3490</v>
      </c>
      <c r="B14" s="22" t="s">
        <v>3491</v>
      </c>
      <c r="C14" s="22" t="s">
        <v>3492</v>
      </c>
    </row>
    <row r="15" customFormat="false" ht="15" hidden="false" customHeight="true" outlineLevel="0" collapsed="false">
      <c r="A15" s="22" t="s">
        <v>3493</v>
      </c>
      <c r="B15" s="22" t="s">
        <v>881</v>
      </c>
      <c r="C15" s="22" t="s">
        <v>3494</v>
      </c>
    </row>
    <row r="16" customFormat="false" ht="15" hidden="false" customHeight="true" outlineLevel="0" collapsed="false">
      <c r="A16" s="22" t="s">
        <v>3495</v>
      </c>
      <c r="B16" s="22" t="s">
        <v>3496</v>
      </c>
      <c r="C16" s="22" t="s">
        <v>3497</v>
      </c>
    </row>
    <row r="17" customFormat="false" ht="15" hidden="false" customHeight="true" outlineLevel="0" collapsed="false">
      <c r="A17" s="22" t="s">
        <v>3498</v>
      </c>
      <c r="B17" s="22" t="s">
        <v>3499</v>
      </c>
      <c r="C17" s="22" t="s">
        <v>3500</v>
      </c>
    </row>
    <row r="18" customFormat="false" ht="15" hidden="false" customHeight="true" outlineLevel="0" collapsed="false">
      <c r="A18" s="22" t="s">
        <v>3501</v>
      </c>
      <c r="B18" s="22" t="s">
        <v>3502</v>
      </c>
      <c r="C18" s="22" t="s">
        <v>3503</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D5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1" min="1" style="1" width="14"/>
    <col collapsed="false" customWidth="true" hidden="false" outlineLevel="0" max="2" min="2" style="1" width="11"/>
    <col collapsed="false" customWidth="true" hidden="false" outlineLevel="0" max="13" min="3" style="1" width="36"/>
    <col collapsed="false" customWidth="true" hidden="false" outlineLevel="0" max="16" min="14" style="1" width="28"/>
    <col collapsed="false" customWidth="true" hidden="false" outlineLevel="0" max="17" min="17" style="1" width="26"/>
    <col collapsed="false" customWidth="true" hidden="false" outlineLevel="0" max="18" min="18" style="1" width="22"/>
    <col collapsed="false" customWidth="true" hidden="false" outlineLevel="0" max="22" min="19" style="1" width="28"/>
    <col collapsed="false" customWidth="true" hidden="false" outlineLevel="0" max="23" min="23" style="1" width="24"/>
    <col collapsed="false" customWidth="true" hidden="false" outlineLevel="0" max="24" min="24" style="1" width="18"/>
    <col collapsed="false" customWidth="true" hidden="false" outlineLevel="0" max="25" min="25" style="1" width="28"/>
    <col collapsed="false" customWidth="true" hidden="false" outlineLevel="0" max="26" min="26" style="1" width="26"/>
  </cols>
  <sheetData>
    <row r="1" customFormat="false" ht="45" hidden="false" customHeight="true" outlineLevel="0" collapsed="false">
      <c r="A1" s="21" t="s">
        <v>3504</v>
      </c>
      <c r="B1" s="21" t="s">
        <v>3505</v>
      </c>
      <c r="C1" s="21" t="s">
        <v>3506</v>
      </c>
      <c r="D1" s="21" t="s">
        <v>3507</v>
      </c>
      <c r="E1" s="21" t="s">
        <v>3508</v>
      </c>
      <c r="F1" s="21" t="s">
        <v>3509</v>
      </c>
      <c r="G1" s="21" t="s">
        <v>3510</v>
      </c>
      <c r="H1" s="21" t="s">
        <v>3511</v>
      </c>
      <c r="I1" s="21" t="s">
        <v>3512</v>
      </c>
      <c r="J1" s="21" t="s">
        <v>3513</v>
      </c>
      <c r="K1" s="21" t="s">
        <v>3514</v>
      </c>
      <c r="L1" s="21" t="s">
        <v>3515</v>
      </c>
      <c r="M1" s="21" t="s">
        <v>3516</v>
      </c>
      <c r="N1" s="21" t="s">
        <v>3517</v>
      </c>
      <c r="O1" s="21" t="s">
        <v>3518</v>
      </c>
      <c r="P1" s="21" t="s">
        <v>2821</v>
      </c>
      <c r="Q1" s="21" t="s">
        <v>3519</v>
      </c>
      <c r="R1" s="21" t="s">
        <v>3520</v>
      </c>
      <c r="S1" s="21" t="s">
        <v>2822</v>
      </c>
      <c r="T1" s="21" t="s">
        <v>3521</v>
      </c>
      <c r="U1" s="21" t="s">
        <v>3522</v>
      </c>
      <c r="V1" s="21" t="s">
        <v>3523</v>
      </c>
      <c r="W1" s="21" t="s">
        <v>3524</v>
      </c>
      <c r="X1" s="21" t="s">
        <v>3525</v>
      </c>
      <c r="Y1" s="21" t="s">
        <v>2850</v>
      </c>
      <c r="Z1" s="21" t="s">
        <v>2254</v>
      </c>
      <c r="AA1" s="3"/>
      <c r="AB1" s="21" t="s">
        <v>3271</v>
      </c>
      <c r="AC1" s="21" t="s">
        <v>3526</v>
      </c>
      <c r="AD1" s="21" t="s">
        <v>3271</v>
      </c>
    </row>
    <row r="2" customFormat="false" ht="102" hidden="false" customHeight="true" outlineLevel="0" collapsed="false">
      <c r="A2" s="22" t="s">
        <v>1904</v>
      </c>
      <c r="B2" s="22" t="s">
        <v>3527</v>
      </c>
      <c r="C2" s="22" t="s">
        <v>3528</v>
      </c>
      <c r="D2" s="22" t="s">
        <v>3529</v>
      </c>
      <c r="E2" s="22" t="s">
        <v>3530</v>
      </c>
      <c r="F2" s="22" t="s">
        <v>3531</v>
      </c>
      <c r="G2" s="22" t="s">
        <v>3532</v>
      </c>
      <c r="H2" s="22" t="s">
        <v>3533</v>
      </c>
      <c r="I2" s="22" t="s">
        <v>3534</v>
      </c>
      <c r="J2" s="22" t="s">
        <v>3535</v>
      </c>
      <c r="K2" s="22" t="s">
        <v>3536</v>
      </c>
      <c r="L2" s="22" t="s">
        <v>3537</v>
      </c>
      <c r="M2" s="22" t="s">
        <v>3538</v>
      </c>
      <c r="N2" s="22" t="s">
        <v>3539</v>
      </c>
      <c r="O2" s="22" t="s">
        <v>3540</v>
      </c>
      <c r="P2" s="22" t="s">
        <v>3541</v>
      </c>
      <c r="Q2" s="22" t="s">
        <v>3277</v>
      </c>
      <c r="R2" s="22" t="s">
        <v>3467</v>
      </c>
      <c r="S2" s="22" t="s">
        <v>3542</v>
      </c>
      <c r="T2" s="22" t="s">
        <v>3543</v>
      </c>
      <c r="U2" s="22" t="s">
        <v>3544</v>
      </c>
      <c r="V2" s="22" t="s">
        <v>3545</v>
      </c>
      <c r="W2" s="22" t="s">
        <v>3526</v>
      </c>
      <c r="X2" s="22" t="s">
        <v>3546</v>
      </c>
      <c r="Y2" s="22" t="s">
        <v>3547</v>
      </c>
      <c r="Z2" s="22" t="str">
        <f aca="false">IF(OR(E2="",Q2="",S2=""),"INCOMPLETE","COMPLETE")</f>
        <v>COMPLETE</v>
      </c>
      <c r="AA2" s="5"/>
      <c r="AB2" s="22" t="s">
        <v>3277</v>
      </c>
      <c r="AC2" s="22" t="s">
        <v>3548</v>
      </c>
      <c r="AD2" s="22" t="s">
        <v>3549</v>
      </c>
    </row>
    <row r="3" customFormat="false" ht="15" hidden="false" customHeight="true" outlineLevel="0" collapsed="false">
      <c r="A3" s="22"/>
      <c r="B3" s="22"/>
      <c r="C3" s="22"/>
      <c r="D3" s="22"/>
      <c r="E3" s="22"/>
      <c r="F3" s="22"/>
      <c r="G3" s="22"/>
      <c r="H3" s="22"/>
      <c r="I3" s="22"/>
      <c r="J3" s="22"/>
      <c r="K3" s="22"/>
      <c r="L3" s="22"/>
      <c r="M3" s="22"/>
      <c r="N3" s="22"/>
      <c r="O3" s="22"/>
      <c r="P3" s="22"/>
      <c r="Q3" s="22"/>
      <c r="R3" s="22"/>
      <c r="S3" s="22"/>
      <c r="T3" s="22"/>
      <c r="U3" s="22"/>
      <c r="V3" s="22"/>
      <c r="W3" s="22"/>
      <c r="X3" s="22"/>
      <c r="Y3" s="22"/>
      <c r="Z3" s="22" t="str">
        <f aca="false">IF(OR(E3="",Q3="",S3=""),"INCOMPLETE","COMPLETE")</f>
        <v>INCOMPLETE</v>
      </c>
      <c r="AA3" s="5"/>
      <c r="AB3" s="22" t="s">
        <v>3288</v>
      </c>
      <c r="AC3" s="22" t="s">
        <v>3550</v>
      </c>
      <c r="AD3" s="22" t="s">
        <v>3551</v>
      </c>
    </row>
    <row r="4" customFormat="false" ht="15" hidden="false" customHeight="true" outlineLevel="0" collapsed="false">
      <c r="A4" s="22"/>
      <c r="B4" s="22"/>
      <c r="C4" s="22"/>
      <c r="D4" s="22"/>
      <c r="E4" s="22"/>
      <c r="F4" s="22"/>
      <c r="G4" s="22"/>
      <c r="H4" s="22"/>
      <c r="I4" s="22"/>
      <c r="J4" s="22"/>
      <c r="K4" s="22"/>
      <c r="L4" s="22"/>
      <c r="M4" s="22"/>
      <c r="N4" s="22"/>
      <c r="O4" s="22"/>
      <c r="P4" s="22"/>
      <c r="Q4" s="22"/>
      <c r="R4" s="22"/>
      <c r="S4" s="22"/>
      <c r="T4" s="22"/>
      <c r="U4" s="22"/>
      <c r="V4" s="22"/>
      <c r="W4" s="22"/>
      <c r="X4" s="22"/>
      <c r="Y4" s="22"/>
      <c r="Z4" s="22" t="str">
        <f aca="false">IF(OR(E4="",Q4="",S4=""),"INCOMPLETE","COMPLETE")</f>
        <v>INCOMPLETE</v>
      </c>
      <c r="AA4" s="5"/>
      <c r="AB4" s="22" t="s">
        <v>3283</v>
      </c>
      <c r="AC4" s="22" t="s">
        <v>3552</v>
      </c>
      <c r="AD4" s="22" t="s">
        <v>3553</v>
      </c>
    </row>
    <row r="5" customFormat="false" ht="15" hidden="false" customHeight="true" outlineLevel="0" collapsed="false">
      <c r="A5" s="22"/>
      <c r="B5" s="22"/>
      <c r="C5" s="22"/>
      <c r="D5" s="22"/>
      <c r="E5" s="22"/>
      <c r="F5" s="22"/>
      <c r="G5" s="22"/>
      <c r="H5" s="22"/>
      <c r="I5" s="22"/>
      <c r="J5" s="22"/>
      <c r="K5" s="22"/>
      <c r="L5" s="22"/>
      <c r="M5" s="22"/>
      <c r="N5" s="22"/>
      <c r="O5" s="22"/>
      <c r="P5" s="22"/>
      <c r="Q5" s="22"/>
      <c r="R5" s="22"/>
      <c r="S5" s="22"/>
      <c r="T5" s="22"/>
      <c r="U5" s="22"/>
      <c r="V5" s="22"/>
      <c r="W5" s="22"/>
      <c r="X5" s="22"/>
      <c r="Y5" s="22"/>
      <c r="Z5" s="22" t="str">
        <f aca="false">IF(OR(E5="",Q5="",S5=""),"INCOMPLETE","COMPLETE")</f>
        <v>INCOMPLETE</v>
      </c>
      <c r="AA5" s="5"/>
      <c r="AB5" s="22" t="s">
        <v>1118</v>
      </c>
      <c r="AC5" s="5"/>
      <c r="AD5" s="22" t="s">
        <v>3295</v>
      </c>
    </row>
    <row r="6" customFormat="false" ht="15" hidden="false" customHeight="true" outlineLevel="0" collapsed="false">
      <c r="A6" s="22"/>
      <c r="B6" s="22"/>
      <c r="C6" s="22"/>
      <c r="D6" s="22"/>
      <c r="E6" s="22"/>
      <c r="F6" s="22"/>
      <c r="G6" s="22"/>
      <c r="H6" s="22"/>
      <c r="I6" s="22"/>
      <c r="J6" s="22"/>
      <c r="K6" s="22"/>
      <c r="L6" s="22"/>
      <c r="M6" s="22"/>
      <c r="N6" s="22"/>
      <c r="O6" s="22"/>
      <c r="P6" s="22"/>
      <c r="Q6" s="22"/>
      <c r="R6" s="22"/>
      <c r="S6" s="22"/>
      <c r="T6" s="22"/>
      <c r="U6" s="22"/>
      <c r="V6" s="22"/>
      <c r="W6" s="22"/>
      <c r="X6" s="22"/>
      <c r="Y6" s="22"/>
      <c r="Z6" s="22" t="str">
        <f aca="false">IF(OR(E6="",Q6="",S6=""),"INCOMPLETE","COMPLETE")</f>
        <v>INCOMPLETE</v>
      </c>
      <c r="AA6" s="5"/>
      <c r="AB6" s="22" t="s">
        <v>3295</v>
      </c>
      <c r="AC6" s="5"/>
      <c r="AD6" s="22" t="s">
        <v>1118</v>
      </c>
    </row>
    <row r="7" customFormat="false" ht="15" hidden="false" customHeight="true" outlineLevel="0" collapsed="false">
      <c r="A7" s="22"/>
      <c r="B7" s="22"/>
      <c r="C7" s="22"/>
      <c r="D7" s="22"/>
      <c r="E7" s="22"/>
      <c r="F7" s="22"/>
      <c r="G7" s="22"/>
      <c r="H7" s="22"/>
      <c r="I7" s="22"/>
      <c r="J7" s="22"/>
      <c r="K7" s="22"/>
      <c r="L7" s="22"/>
      <c r="M7" s="22"/>
      <c r="N7" s="22"/>
      <c r="O7" s="22"/>
      <c r="P7" s="22"/>
      <c r="Q7" s="22"/>
      <c r="R7" s="22"/>
      <c r="S7" s="22"/>
      <c r="T7" s="22"/>
      <c r="U7" s="22"/>
      <c r="V7" s="22"/>
      <c r="W7" s="22"/>
      <c r="X7" s="22"/>
      <c r="Y7" s="22"/>
      <c r="Z7" s="22" t="str">
        <f aca="false">IF(OR(E7="",Q7="",S7=""),"INCOMPLETE","COMPLETE")</f>
        <v>INCOMPLETE</v>
      </c>
      <c r="AA7" s="5"/>
      <c r="AB7" s="22" t="s">
        <v>3299</v>
      </c>
      <c r="AC7" s="5"/>
      <c r="AD7" s="22" t="s">
        <v>3299</v>
      </c>
    </row>
    <row r="8" customFormat="false" ht="15" hidden="false" customHeight="true" outlineLevel="0" collapsed="false">
      <c r="A8" s="22"/>
      <c r="B8" s="22"/>
      <c r="C8" s="22"/>
      <c r="D8" s="22"/>
      <c r="E8" s="22"/>
      <c r="F8" s="22"/>
      <c r="G8" s="22"/>
      <c r="H8" s="22"/>
      <c r="I8" s="22"/>
      <c r="J8" s="22"/>
      <c r="K8" s="22"/>
      <c r="L8" s="22"/>
      <c r="M8" s="22"/>
      <c r="N8" s="22"/>
      <c r="O8" s="22"/>
      <c r="P8" s="22"/>
      <c r="Q8" s="22"/>
      <c r="R8" s="22"/>
      <c r="S8" s="22"/>
      <c r="T8" s="22"/>
      <c r="U8" s="22"/>
      <c r="V8" s="22"/>
      <c r="W8" s="22"/>
      <c r="X8" s="22"/>
      <c r="Y8" s="22"/>
      <c r="Z8" s="22" t="str">
        <f aca="false">IF(OR(E8="",Q8="",S8=""),"INCOMPLETE","COMPLETE")</f>
        <v>INCOMPLETE</v>
      </c>
      <c r="AA8" s="5"/>
      <c r="AB8" s="22" t="s">
        <v>3303</v>
      </c>
      <c r="AC8" s="5"/>
      <c r="AD8" s="5"/>
    </row>
    <row r="9" customFormat="false" ht="15" hidden="false" customHeight="true" outlineLevel="0" collapsed="false">
      <c r="A9" s="22"/>
      <c r="B9" s="22"/>
      <c r="C9" s="22"/>
      <c r="D9" s="22"/>
      <c r="E9" s="22"/>
      <c r="F9" s="22"/>
      <c r="G9" s="22"/>
      <c r="H9" s="22"/>
      <c r="I9" s="22"/>
      <c r="J9" s="22"/>
      <c r="K9" s="22"/>
      <c r="L9" s="22"/>
      <c r="M9" s="22"/>
      <c r="N9" s="22"/>
      <c r="O9" s="22"/>
      <c r="P9" s="22"/>
      <c r="Q9" s="22"/>
      <c r="R9" s="22"/>
      <c r="S9" s="22"/>
      <c r="T9" s="22"/>
      <c r="U9" s="22"/>
      <c r="V9" s="22"/>
      <c r="W9" s="22"/>
      <c r="X9" s="22"/>
      <c r="Y9" s="22"/>
      <c r="Z9" s="22" t="str">
        <f aca="false">IF(OR(E9="",Q9="",S9=""),"INCOMPLETE","COMPLETE")</f>
        <v>INCOMPLETE</v>
      </c>
      <c r="AA9" s="5"/>
      <c r="AB9" s="5"/>
      <c r="AC9" s="5"/>
      <c r="AD9" s="5"/>
    </row>
    <row r="10" customFormat="false" ht="15" hidden="false" customHeight="true" outlineLevel="0" collapsed="false">
      <c r="A10" s="22"/>
      <c r="B10" s="22"/>
      <c r="C10" s="22"/>
      <c r="D10" s="22"/>
      <c r="E10" s="22"/>
      <c r="F10" s="22"/>
      <c r="G10" s="22"/>
      <c r="H10" s="22"/>
      <c r="I10" s="22"/>
      <c r="J10" s="22"/>
      <c r="K10" s="22"/>
      <c r="L10" s="22"/>
      <c r="M10" s="22"/>
      <c r="N10" s="22"/>
      <c r="O10" s="22"/>
      <c r="P10" s="22"/>
      <c r="Q10" s="22"/>
      <c r="R10" s="22"/>
      <c r="S10" s="22"/>
      <c r="T10" s="22"/>
      <c r="U10" s="22"/>
      <c r="V10" s="22"/>
      <c r="W10" s="22"/>
      <c r="X10" s="22"/>
      <c r="Y10" s="22"/>
      <c r="Z10" s="22" t="str">
        <f aca="false">IF(OR(E10="",Q10="",S10=""),"INCOMPLETE","COMPLETE")</f>
        <v>INCOMPLETE</v>
      </c>
      <c r="AA10" s="5"/>
      <c r="AB10" s="5"/>
      <c r="AC10" s="5"/>
      <c r="AD10" s="5"/>
    </row>
    <row r="11" customFormat="false" ht="15" hidden="false" customHeight="true" outlineLevel="0" collapsed="false">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t="str">
        <f aca="false">IF(OR(E11="",Q11="",S11=""),"INCOMPLETE","COMPLETE")</f>
        <v>INCOMPLETE</v>
      </c>
      <c r="AA11" s="5"/>
      <c r="AB11" s="5"/>
      <c r="AC11" s="5"/>
      <c r="AD11" s="5"/>
    </row>
    <row r="12" customFormat="false" ht="15" hidden="false" customHeight="true" outlineLevel="0" collapsed="false">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t="str">
        <f aca="false">IF(OR(E12="",Q12="",S12=""),"INCOMPLETE","COMPLETE")</f>
        <v>INCOMPLETE</v>
      </c>
      <c r="AA12" s="5"/>
      <c r="AB12" s="5"/>
      <c r="AC12" s="5"/>
      <c r="AD12" s="5"/>
    </row>
    <row r="13" customFormat="false" ht="15" hidden="false" customHeight="true" outlineLevel="0" collapsed="false">
      <c r="A13" s="22"/>
      <c r="B13" s="22"/>
      <c r="C13" s="22"/>
      <c r="D13" s="22"/>
      <c r="E13" s="22"/>
      <c r="F13" s="22"/>
      <c r="G13" s="22"/>
      <c r="H13" s="22"/>
      <c r="I13" s="22"/>
      <c r="J13" s="22"/>
      <c r="K13" s="22"/>
      <c r="L13" s="22"/>
      <c r="M13" s="22"/>
      <c r="N13" s="22"/>
      <c r="O13" s="22"/>
      <c r="P13" s="22"/>
      <c r="Q13" s="22"/>
      <c r="R13" s="22"/>
      <c r="S13" s="22"/>
      <c r="T13" s="22"/>
      <c r="U13" s="22"/>
      <c r="V13" s="22"/>
      <c r="W13" s="22"/>
      <c r="X13" s="22"/>
      <c r="Y13" s="22"/>
      <c r="Z13" s="22" t="str">
        <f aca="false">IF(OR(E13="",Q13="",S13=""),"INCOMPLETE","COMPLETE")</f>
        <v>INCOMPLETE</v>
      </c>
      <c r="AA13" s="5"/>
      <c r="AB13" s="5"/>
      <c r="AC13" s="5"/>
      <c r="AD13" s="5"/>
    </row>
    <row r="14" customFormat="false" ht="15" hidden="false" customHeight="true" outlineLevel="0" collapsed="false">
      <c r="A14" s="22"/>
      <c r="B14" s="22"/>
      <c r="C14" s="22"/>
      <c r="D14" s="22"/>
      <c r="E14" s="22"/>
      <c r="F14" s="22"/>
      <c r="G14" s="22"/>
      <c r="H14" s="22"/>
      <c r="I14" s="22"/>
      <c r="J14" s="22"/>
      <c r="K14" s="22"/>
      <c r="L14" s="22"/>
      <c r="M14" s="22"/>
      <c r="N14" s="22"/>
      <c r="O14" s="22"/>
      <c r="P14" s="22"/>
      <c r="Q14" s="22"/>
      <c r="R14" s="22"/>
      <c r="S14" s="22"/>
      <c r="T14" s="22"/>
      <c r="U14" s="22"/>
      <c r="V14" s="22"/>
      <c r="W14" s="22"/>
      <c r="X14" s="22"/>
      <c r="Y14" s="22"/>
      <c r="Z14" s="22" t="str">
        <f aca="false">IF(OR(E14="",Q14="",S14=""),"INCOMPLETE","COMPLETE")</f>
        <v>INCOMPLETE</v>
      </c>
      <c r="AA14" s="5"/>
      <c r="AB14" s="5"/>
      <c r="AC14" s="5"/>
      <c r="AD14" s="5"/>
    </row>
    <row r="15" customFormat="false" ht="15" hidden="false" customHeight="true" outlineLevel="0" collapsed="false">
      <c r="A15" s="22"/>
      <c r="B15" s="22"/>
      <c r="C15" s="22"/>
      <c r="D15" s="22"/>
      <c r="E15" s="22"/>
      <c r="F15" s="22"/>
      <c r="G15" s="22"/>
      <c r="H15" s="22"/>
      <c r="I15" s="22"/>
      <c r="J15" s="22"/>
      <c r="K15" s="22"/>
      <c r="L15" s="22"/>
      <c r="M15" s="22"/>
      <c r="N15" s="22"/>
      <c r="O15" s="22"/>
      <c r="P15" s="22"/>
      <c r="Q15" s="22"/>
      <c r="R15" s="22"/>
      <c r="S15" s="22"/>
      <c r="T15" s="22"/>
      <c r="U15" s="22"/>
      <c r="V15" s="22"/>
      <c r="W15" s="22"/>
      <c r="X15" s="22"/>
      <c r="Y15" s="22"/>
      <c r="Z15" s="22" t="str">
        <f aca="false">IF(OR(E15="",Q15="",S15=""),"INCOMPLETE","COMPLETE")</f>
        <v>INCOMPLETE</v>
      </c>
      <c r="AA15" s="5"/>
      <c r="AB15" s="5"/>
      <c r="AC15" s="5"/>
      <c r="AD15" s="5"/>
    </row>
    <row r="16" customFormat="false" ht="15" hidden="false" customHeight="true" outlineLevel="0" collapsed="false">
      <c r="A16" s="22"/>
      <c r="B16" s="22"/>
      <c r="C16" s="22"/>
      <c r="D16" s="22"/>
      <c r="E16" s="22"/>
      <c r="F16" s="22"/>
      <c r="G16" s="22"/>
      <c r="H16" s="22"/>
      <c r="I16" s="22"/>
      <c r="J16" s="22"/>
      <c r="K16" s="22"/>
      <c r="L16" s="22"/>
      <c r="M16" s="22"/>
      <c r="N16" s="22"/>
      <c r="O16" s="22"/>
      <c r="P16" s="22"/>
      <c r="Q16" s="22"/>
      <c r="R16" s="22"/>
      <c r="S16" s="22"/>
      <c r="T16" s="22"/>
      <c r="U16" s="22"/>
      <c r="V16" s="22"/>
      <c r="W16" s="22"/>
      <c r="X16" s="22"/>
      <c r="Y16" s="22"/>
      <c r="Z16" s="22" t="str">
        <f aca="false">IF(OR(E16="",Q16="",S16=""),"INCOMPLETE","COMPLETE")</f>
        <v>INCOMPLETE</v>
      </c>
      <c r="AA16" s="5"/>
      <c r="AB16" s="5"/>
      <c r="AC16" s="5"/>
      <c r="AD16" s="5"/>
    </row>
    <row r="17" customFormat="false" ht="15" hidden="false" customHeight="true" outlineLevel="0" collapsed="false">
      <c r="A17" s="22"/>
      <c r="B17" s="22"/>
      <c r="C17" s="22"/>
      <c r="D17" s="22"/>
      <c r="E17" s="22"/>
      <c r="F17" s="22"/>
      <c r="G17" s="22"/>
      <c r="H17" s="22"/>
      <c r="I17" s="22"/>
      <c r="J17" s="22"/>
      <c r="K17" s="22"/>
      <c r="L17" s="22"/>
      <c r="M17" s="22"/>
      <c r="N17" s="22"/>
      <c r="O17" s="22"/>
      <c r="P17" s="22"/>
      <c r="Q17" s="22"/>
      <c r="R17" s="22"/>
      <c r="S17" s="22"/>
      <c r="T17" s="22"/>
      <c r="U17" s="22"/>
      <c r="V17" s="22"/>
      <c r="W17" s="22"/>
      <c r="X17" s="22"/>
      <c r="Y17" s="22"/>
      <c r="Z17" s="22" t="str">
        <f aca="false">IF(OR(E17="",Q17="",S17=""),"INCOMPLETE","COMPLETE")</f>
        <v>INCOMPLETE</v>
      </c>
      <c r="AA17" s="5"/>
      <c r="AB17" s="5"/>
      <c r="AC17" s="5"/>
      <c r="AD17" s="5"/>
    </row>
    <row r="18" customFormat="false" ht="15" hidden="false" customHeight="true" outlineLevel="0" collapsed="false">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t="str">
        <f aca="false">IF(OR(E18="",Q18="",S18=""),"INCOMPLETE","COMPLETE")</f>
        <v>INCOMPLETE</v>
      </c>
      <c r="AA18" s="5"/>
      <c r="AB18" s="5"/>
      <c r="AC18" s="5"/>
      <c r="AD18" s="5"/>
    </row>
    <row r="19" customFormat="false" ht="15" hidden="false" customHeight="true" outlineLevel="0" collapsed="false">
      <c r="A19" s="22"/>
      <c r="B19" s="22"/>
      <c r="C19" s="22"/>
      <c r="D19" s="22"/>
      <c r="E19" s="22"/>
      <c r="F19" s="22"/>
      <c r="G19" s="22"/>
      <c r="H19" s="22"/>
      <c r="I19" s="22"/>
      <c r="J19" s="22"/>
      <c r="K19" s="22"/>
      <c r="L19" s="22"/>
      <c r="M19" s="22"/>
      <c r="N19" s="22"/>
      <c r="O19" s="22"/>
      <c r="P19" s="22"/>
      <c r="Q19" s="22"/>
      <c r="R19" s="22"/>
      <c r="S19" s="22"/>
      <c r="T19" s="22"/>
      <c r="U19" s="22"/>
      <c r="V19" s="22"/>
      <c r="W19" s="22"/>
      <c r="X19" s="22"/>
      <c r="Y19" s="22"/>
      <c r="Z19" s="22" t="str">
        <f aca="false">IF(OR(E19="",Q19="",S19=""),"INCOMPLETE","COMPLETE")</f>
        <v>INCOMPLETE</v>
      </c>
      <c r="AA19" s="5"/>
      <c r="AB19" s="5"/>
      <c r="AC19" s="5"/>
      <c r="AD19" s="5"/>
    </row>
    <row r="20" customFormat="false" ht="15" hidden="false" customHeight="true" outlineLevel="0" collapsed="false">
      <c r="A20" s="22"/>
      <c r="B20" s="22"/>
      <c r="C20" s="22"/>
      <c r="D20" s="22"/>
      <c r="E20" s="22"/>
      <c r="F20" s="22"/>
      <c r="G20" s="22"/>
      <c r="H20" s="22"/>
      <c r="I20" s="22"/>
      <c r="J20" s="22"/>
      <c r="K20" s="22"/>
      <c r="L20" s="22"/>
      <c r="M20" s="22"/>
      <c r="N20" s="22"/>
      <c r="O20" s="22"/>
      <c r="P20" s="22"/>
      <c r="Q20" s="22"/>
      <c r="R20" s="22"/>
      <c r="S20" s="22"/>
      <c r="T20" s="22"/>
      <c r="U20" s="22"/>
      <c r="V20" s="22"/>
      <c r="W20" s="22"/>
      <c r="X20" s="22"/>
      <c r="Y20" s="22"/>
      <c r="Z20" s="22" t="str">
        <f aca="false">IF(OR(E20="",Q20="",S20=""),"INCOMPLETE","COMPLETE")</f>
        <v>INCOMPLETE</v>
      </c>
      <c r="AA20" s="5"/>
      <c r="AB20" s="5"/>
      <c r="AC20" s="5"/>
      <c r="AD20" s="5"/>
    </row>
    <row r="21" customFormat="false" ht="15" hidden="false" customHeight="true" outlineLevel="0" collapsed="false">
      <c r="A21" s="22"/>
      <c r="B21" s="22"/>
      <c r="C21" s="22"/>
      <c r="D21" s="22"/>
      <c r="E21" s="22"/>
      <c r="F21" s="22"/>
      <c r="G21" s="22"/>
      <c r="H21" s="22"/>
      <c r="I21" s="22"/>
      <c r="J21" s="22"/>
      <c r="K21" s="22"/>
      <c r="L21" s="22"/>
      <c r="M21" s="22"/>
      <c r="N21" s="22"/>
      <c r="O21" s="22"/>
      <c r="P21" s="22"/>
      <c r="Q21" s="22"/>
      <c r="R21" s="22"/>
      <c r="S21" s="22"/>
      <c r="T21" s="22"/>
      <c r="U21" s="22"/>
      <c r="V21" s="22"/>
      <c r="W21" s="22"/>
      <c r="X21" s="22"/>
      <c r="Y21" s="22"/>
      <c r="Z21" s="22" t="str">
        <f aca="false">IF(OR(E21="",Q21="",S21=""),"INCOMPLETE","COMPLETE")</f>
        <v>INCOMPLETE</v>
      </c>
      <c r="AA21" s="5"/>
      <c r="AB21" s="5"/>
      <c r="AC21" s="5"/>
      <c r="AD21" s="5"/>
    </row>
    <row r="22" customFormat="false" ht="15" hidden="false" customHeight="true" outlineLevel="0" collapsed="false">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t="str">
        <f aca="false">IF(OR(E22="",Q22="",S22=""),"INCOMPLETE","COMPLETE")</f>
        <v>INCOMPLETE</v>
      </c>
      <c r="AA22" s="5"/>
      <c r="AB22" s="5"/>
      <c r="AC22" s="5"/>
      <c r="AD22" s="5"/>
    </row>
    <row r="23" customFormat="false" ht="15" hidden="false" customHeight="true" outlineLevel="0" collapsed="false">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t="str">
        <f aca="false">IF(OR(E23="",Q23="",S23=""),"INCOMPLETE","COMPLETE")</f>
        <v>INCOMPLETE</v>
      </c>
      <c r="AA23" s="5"/>
      <c r="AB23" s="5"/>
      <c r="AC23" s="5"/>
      <c r="AD23" s="5"/>
    </row>
    <row r="24" customFormat="false" ht="15" hidden="false" customHeight="true" outlineLevel="0" collapsed="false">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t="str">
        <f aca="false">IF(OR(E24="",Q24="",S24=""),"INCOMPLETE","COMPLETE")</f>
        <v>INCOMPLETE</v>
      </c>
      <c r="AA24" s="5"/>
      <c r="AB24" s="5"/>
      <c r="AC24" s="5"/>
      <c r="AD24" s="5"/>
    </row>
    <row r="25" customFormat="false" ht="15" hidden="false" customHeight="true" outlineLevel="0" collapsed="false">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t="str">
        <f aca="false">IF(OR(E25="",Q25="",S25=""),"INCOMPLETE","COMPLETE")</f>
        <v>INCOMPLETE</v>
      </c>
      <c r="AA25" s="5"/>
      <c r="AB25" s="5"/>
      <c r="AC25" s="5"/>
      <c r="AD25" s="5"/>
    </row>
    <row r="26" customFormat="false" ht="15" hidden="false" customHeight="true" outlineLevel="0" collapsed="false">
      <c r="A26" s="22"/>
      <c r="B26" s="22"/>
      <c r="C26" s="22"/>
      <c r="D26" s="22"/>
      <c r="E26" s="22"/>
      <c r="F26" s="22"/>
      <c r="G26" s="22"/>
      <c r="H26" s="22"/>
      <c r="I26" s="22"/>
      <c r="J26" s="22"/>
      <c r="K26" s="22"/>
      <c r="L26" s="22"/>
      <c r="M26" s="22"/>
      <c r="N26" s="22"/>
      <c r="O26" s="22"/>
      <c r="P26" s="22"/>
      <c r="Q26" s="22"/>
      <c r="R26" s="22"/>
      <c r="S26" s="22"/>
      <c r="T26" s="22"/>
      <c r="U26" s="22"/>
      <c r="V26" s="22"/>
      <c r="W26" s="22"/>
      <c r="X26" s="22"/>
      <c r="Y26" s="22"/>
      <c r="Z26" s="22" t="str">
        <f aca="false">IF(OR(E26="",Q26="",S26=""),"INCOMPLETE","COMPLETE")</f>
        <v>INCOMPLETE</v>
      </c>
      <c r="AA26" s="5"/>
      <c r="AB26" s="5"/>
      <c r="AC26" s="5"/>
      <c r="AD26" s="5"/>
    </row>
    <row r="27" customFormat="false" ht="15" hidden="false" customHeight="true" outlineLevel="0" collapsed="false">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t="str">
        <f aca="false">IF(OR(E27="",Q27="",S27=""),"INCOMPLETE","COMPLETE")</f>
        <v>INCOMPLETE</v>
      </c>
      <c r="AA27" s="5"/>
      <c r="AB27" s="5"/>
      <c r="AC27" s="5"/>
      <c r="AD27" s="5"/>
    </row>
    <row r="28" customFormat="false" ht="15" hidden="false" customHeight="true" outlineLevel="0" collapsed="false">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t="str">
        <f aca="false">IF(OR(E28="",Q28="",S28=""),"INCOMPLETE","COMPLETE")</f>
        <v>INCOMPLETE</v>
      </c>
      <c r="AA28" s="5"/>
      <c r="AB28" s="5"/>
      <c r="AC28" s="5"/>
      <c r="AD28" s="5"/>
    </row>
    <row r="29" customFormat="false" ht="15" hidden="false" customHeight="true" outlineLevel="0" collapsed="false">
      <c r="A29" s="22"/>
      <c r="B29" s="22"/>
      <c r="C29" s="22"/>
      <c r="D29" s="22"/>
      <c r="E29" s="22"/>
      <c r="F29" s="22"/>
      <c r="G29" s="22"/>
      <c r="H29" s="22"/>
      <c r="I29" s="22"/>
      <c r="J29" s="22"/>
      <c r="K29" s="22"/>
      <c r="L29" s="22"/>
      <c r="M29" s="22"/>
      <c r="N29" s="22"/>
      <c r="O29" s="22"/>
      <c r="P29" s="22"/>
      <c r="Q29" s="22"/>
      <c r="R29" s="22"/>
      <c r="S29" s="22"/>
      <c r="T29" s="22"/>
      <c r="U29" s="22"/>
      <c r="V29" s="22"/>
      <c r="W29" s="22"/>
      <c r="X29" s="22"/>
      <c r="Y29" s="22"/>
      <c r="Z29" s="22" t="str">
        <f aca="false">IF(OR(E29="",Q29="",S29=""),"INCOMPLETE","COMPLETE")</f>
        <v>INCOMPLETE</v>
      </c>
      <c r="AA29" s="5"/>
      <c r="AB29" s="5"/>
      <c r="AC29" s="5"/>
      <c r="AD29" s="5"/>
    </row>
    <row r="30" customFormat="false" ht="15" hidden="false" customHeight="true" outlineLevel="0" collapsed="false">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t="str">
        <f aca="false">IF(OR(E30="",Q30="",S30=""),"INCOMPLETE","COMPLETE")</f>
        <v>INCOMPLETE</v>
      </c>
      <c r="AA30" s="5"/>
      <c r="AB30" s="5"/>
      <c r="AC30" s="5"/>
      <c r="AD30" s="5"/>
    </row>
    <row r="31" customFormat="false" ht="15" hidden="false" customHeight="true" outlineLevel="0" collapsed="false">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t="str">
        <f aca="false">IF(OR(E31="",Q31="",S31=""),"INCOMPLETE","COMPLETE")</f>
        <v>INCOMPLETE</v>
      </c>
      <c r="AA31" s="5"/>
      <c r="AB31" s="5"/>
      <c r="AC31" s="5"/>
      <c r="AD31" s="5"/>
    </row>
    <row r="32" customFormat="false" ht="15" hidden="false" customHeight="true" outlineLevel="0" collapsed="false">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t="str">
        <f aca="false">IF(OR(E32="",Q32="",S32=""),"INCOMPLETE","COMPLETE")</f>
        <v>INCOMPLETE</v>
      </c>
      <c r="AA32" s="5"/>
      <c r="AB32" s="5"/>
      <c r="AC32" s="5"/>
      <c r="AD32" s="5"/>
    </row>
    <row r="33" customFormat="false" ht="15" hidden="false" customHeight="true" outlineLevel="0" collapsed="false">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t="str">
        <f aca="false">IF(OR(E33="",Q33="",S33=""),"INCOMPLETE","COMPLETE")</f>
        <v>INCOMPLETE</v>
      </c>
      <c r="AA33" s="5"/>
      <c r="AB33" s="5"/>
      <c r="AC33" s="5"/>
      <c r="AD33" s="5"/>
    </row>
    <row r="34" customFormat="false" ht="15" hidden="false" customHeight="true" outlineLevel="0" collapsed="false">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t="str">
        <f aca="false">IF(OR(E34="",Q34="",S34=""),"INCOMPLETE","COMPLETE")</f>
        <v>INCOMPLETE</v>
      </c>
      <c r="AA34" s="5"/>
      <c r="AB34" s="5"/>
      <c r="AC34" s="5"/>
      <c r="AD34" s="5"/>
    </row>
    <row r="35" customFormat="false" ht="15" hidden="false" customHeight="true" outlineLevel="0" collapsed="false">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t="str">
        <f aca="false">IF(OR(E35="",Q35="",S35=""),"INCOMPLETE","COMPLETE")</f>
        <v>INCOMPLETE</v>
      </c>
      <c r="AA35" s="5"/>
      <c r="AB35" s="5"/>
      <c r="AC35" s="5"/>
      <c r="AD35" s="5"/>
    </row>
    <row r="36" customFormat="false" ht="15" hidden="false" customHeight="true" outlineLevel="0" collapsed="false">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t="str">
        <f aca="false">IF(OR(E36="",Q36="",S36=""),"INCOMPLETE","COMPLETE")</f>
        <v>INCOMPLETE</v>
      </c>
      <c r="AA36" s="5"/>
      <c r="AB36" s="5"/>
      <c r="AC36" s="5"/>
      <c r="AD36" s="5"/>
    </row>
    <row r="37" customFormat="false" ht="15" hidden="false" customHeight="true" outlineLevel="0" collapsed="false">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t="str">
        <f aca="false">IF(OR(E37="",Q37="",S37=""),"INCOMPLETE","COMPLETE")</f>
        <v>INCOMPLETE</v>
      </c>
      <c r="AA37" s="5"/>
      <c r="AB37" s="5"/>
      <c r="AC37" s="5"/>
      <c r="AD37" s="5"/>
    </row>
    <row r="38" customFormat="false" ht="15"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t="str">
        <f aca="false">IF(OR(E38="",Q38="",S38=""),"INCOMPLETE","COMPLETE")</f>
        <v>INCOMPLETE</v>
      </c>
      <c r="AA38" s="5"/>
      <c r="AB38" s="5"/>
      <c r="AC38" s="5"/>
      <c r="AD38" s="5"/>
    </row>
    <row r="39" customFormat="false" ht="15" hidden="false" customHeight="true" outlineLevel="0" collapsed="false">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t="str">
        <f aca="false">IF(OR(E39="",Q39="",S39=""),"INCOMPLETE","COMPLETE")</f>
        <v>INCOMPLETE</v>
      </c>
      <c r="AA39" s="5"/>
      <c r="AB39" s="5"/>
      <c r="AC39" s="5"/>
      <c r="AD39" s="5"/>
    </row>
    <row r="40" customFormat="false" ht="15" hidden="false" customHeight="true" outlineLevel="0" collapsed="false">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t="str">
        <f aca="false">IF(OR(E40="",Q40="",S40=""),"INCOMPLETE","COMPLETE")</f>
        <v>INCOMPLETE</v>
      </c>
      <c r="AA40" s="5"/>
      <c r="AB40" s="5"/>
      <c r="AC40" s="5"/>
      <c r="AD40" s="5"/>
    </row>
    <row r="41" customFormat="false" ht="15" hidden="false" customHeight="true" outlineLevel="0" collapsed="false">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t="str">
        <f aca="false">IF(OR(E41="",Q41="",S41=""),"INCOMPLETE","COMPLETE")</f>
        <v>INCOMPLETE</v>
      </c>
      <c r="AA41" s="5"/>
      <c r="AB41" s="5"/>
      <c r="AC41" s="5"/>
      <c r="AD41" s="5"/>
    </row>
    <row r="42" customFormat="false" ht="15" hidden="false" customHeight="true" outlineLevel="0" collapsed="false">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t="str">
        <f aca="false">IF(OR(E42="",Q42="",S42=""),"INCOMPLETE","COMPLETE")</f>
        <v>INCOMPLETE</v>
      </c>
      <c r="AA42" s="5"/>
      <c r="AB42" s="5"/>
      <c r="AC42" s="5"/>
      <c r="AD42" s="5"/>
    </row>
    <row r="43" customFormat="false" ht="15" hidden="false" customHeight="true" outlineLevel="0" collapsed="false">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t="str">
        <f aca="false">IF(OR(E43="",Q43="",S43=""),"INCOMPLETE","COMPLETE")</f>
        <v>INCOMPLETE</v>
      </c>
      <c r="AA43" s="5"/>
      <c r="AB43" s="5"/>
      <c r="AC43" s="5"/>
      <c r="AD43" s="5"/>
    </row>
    <row r="44" customFormat="false" ht="15" hidden="false" customHeight="true" outlineLevel="0" collapsed="false">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t="str">
        <f aca="false">IF(OR(E44="",Q44="",S44=""),"INCOMPLETE","COMPLETE")</f>
        <v>INCOMPLETE</v>
      </c>
      <c r="AA44" s="5"/>
      <c r="AB44" s="5"/>
      <c r="AC44" s="5"/>
      <c r="AD44" s="5"/>
    </row>
    <row r="45" customFormat="false" ht="15" hidden="false" customHeight="true" outlineLevel="0" collapsed="false">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t="str">
        <f aca="false">IF(OR(E45="",Q45="",S45=""),"INCOMPLETE","COMPLETE")</f>
        <v>INCOMPLETE</v>
      </c>
      <c r="AA45" s="5"/>
      <c r="AB45" s="5"/>
      <c r="AC45" s="5"/>
      <c r="AD45" s="5"/>
    </row>
    <row r="46" customFormat="false" ht="15" hidden="false" customHeight="true" outlineLevel="0" collapsed="false">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t="str">
        <f aca="false">IF(OR(E46="",Q46="",S46=""),"INCOMPLETE","COMPLETE")</f>
        <v>INCOMPLETE</v>
      </c>
      <c r="AA46" s="5"/>
      <c r="AB46" s="5"/>
      <c r="AC46" s="5"/>
      <c r="AD46" s="5"/>
    </row>
    <row r="47" customFormat="false" ht="15" hidden="false" customHeight="true" outlineLevel="0" collapsed="false">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t="str">
        <f aca="false">IF(OR(E47="",Q47="",S47=""),"INCOMPLETE","COMPLETE")</f>
        <v>INCOMPLETE</v>
      </c>
      <c r="AA47" s="5"/>
      <c r="AB47" s="5"/>
      <c r="AC47" s="5"/>
      <c r="AD47" s="5"/>
    </row>
    <row r="48" customFormat="false" ht="15" hidden="false" customHeight="true" outlineLevel="0" collapsed="false">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t="str">
        <f aca="false">IF(OR(E48="",Q48="",S48=""),"INCOMPLETE","COMPLETE")</f>
        <v>INCOMPLETE</v>
      </c>
      <c r="AA48" s="5"/>
      <c r="AB48" s="5"/>
      <c r="AC48" s="5"/>
      <c r="AD48" s="5"/>
    </row>
    <row r="49" customFormat="false" ht="15" hidden="false" customHeight="true" outlineLevel="0" collapsed="false">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t="str">
        <f aca="false">IF(OR(E49="",Q49="",S49=""),"INCOMPLETE","COMPLETE")</f>
        <v>INCOMPLETE</v>
      </c>
      <c r="AA49" s="5"/>
      <c r="AB49" s="5"/>
      <c r="AC49" s="5"/>
      <c r="AD49" s="5"/>
    </row>
    <row r="50" customFormat="false" ht="15" hidden="false" customHeight="true" outlineLevel="0" collapsed="false">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t="str">
        <f aca="false">IF(OR(E50="",Q50="",S50=""),"INCOMPLETE","COMPLETE")</f>
        <v>INCOMPLETE</v>
      </c>
      <c r="AA50" s="5"/>
      <c r="AB50" s="5"/>
      <c r="AC50" s="5"/>
      <c r="AD50" s="5"/>
    </row>
    <row r="51" customFormat="false" ht="15" hidden="false" customHeight="true" outlineLevel="0" collapsed="false">
      <c r="A51" s="5"/>
      <c r="B51" s="5"/>
      <c r="C51" s="5"/>
      <c r="D51" s="5"/>
      <c r="E51" s="5"/>
      <c r="F51" s="5"/>
      <c r="G51" s="5"/>
      <c r="H51" s="5"/>
      <c r="I51" s="5"/>
      <c r="J51" s="5"/>
      <c r="K51" s="5"/>
      <c r="L51" s="5"/>
      <c r="M51" s="5"/>
      <c r="N51" s="5"/>
      <c r="O51" s="5"/>
      <c r="P51" s="5"/>
      <c r="Q51" s="5"/>
      <c r="R51" s="5"/>
      <c r="S51" s="5"/>
      <c r="T51" s="5"/>
      <c r="U51" s="5"/>
      <c r="V51" s="5"/>
      <c r="W51" s="5"/>
      <c r="X51" s="5"/>
      <c r="Y51" s="5"/>
      <c r="Z51" s="22" t="str">
        <f aca="false">IF(OR(E51="",Q51="",S51=""),"INCOMPLETE","COMPLETE")</f>
        <v>INCOMPLETE</v>
      </c>
      <c r="AA51" s="5"/>
      <c r="AB51" s="5"/>
      <c r="AC51" s="5"/>
      <c r="AD51" s="5"/>
    </row>
    <row r="52" customFormat="false" ht="15" hidden="false" customHeight="true" outlineLevel="0" collapsed="false">
      <c r="A52" s="5"/>
      <c r="B52" s="5"/>
      <c r="C52" s="5"/>
      <c r="D52" s="5"/>
      <c r="E52" s="5"/>
      <c r="F52" s="5"/>
      <c r="G52" s="5"/>
      <c r="H52" s="5"/>
      <c r="I52" s="5"/>
      <c r="J52" s="5"/>
      <c r="K52" s="5"/>
      <c r="L52" s="5"/>
      <c r="M52" s="5"/>
      <c r="N52" s="5"/>
      <c r="O52" s="5"/>
      <c r="P52" s="5"/>
      <c r="Q52" s="5"/>
      <c r="R52" s="5"/>
      <c r="S52" s="5"/>
      <c r="T52" s="5"/>
      <c r="U52" s="5"/>
      <c r="V52" s="5"/>
      <c r="W52" s="5"/>
      <c r="X52" s="5"/>
      <c r="Y52" s="5"/>
      <c r="Z52" s="22" t="str">
        <f aca="false">IF(OR(E52="",Q52="",S52=""),"INCOMPLETE","COMPLETE")</f>
        <v>INCOMPLETE</v>
      </c>
      <c r="AA52" s="5"/>
      <c r="AB52" s="5"/>
      <c r="AC52" s="5"/>
      <c r="AD52" s="5"/>
    </row>
    <row r="53" customFormat="false" ht="15" hidden="false" customHeight="true" outlineLevel="0" collapsed="false">
      <c r="A53" s="130" t="s">
        <v>3554</v>
      </c>
      <c r="B53" s="130"/>
      <c r="C53" s="130"/>
      <c r="D53" s="130"/>
      <c r="E53" s="130"/>
      <c r="F53" s="130"/>
      <c r="G53" s="130"/>
      <c r="H53" s="130"/>
      <c r="I53" s="130"/>
      <c r="J53" s="130"/>
      <c r="K53" s="130"/>
      <c r="L53" s="130"/>
      <c r="M53" s="130"/>
      <c r="N53" s="130"/>
      <c r="O53" s="130"/>
      <c r="P53" s="130"/>
      <c r="Q53" s="130"/>
      <c r="R53" s="130"/>
      <c r="S53" s="130"/>
      <c r="T53" s="130"/>
      <c r="U53" s="130"/>
      <c r="V53" s="130"/>
      <c r="W53" s="130"/>
      <c r="X53" s="130"/>
      <c r="Y53" s="130"/>
      <c r="Z53" s="130"/>
      <c r="AA53" s="5"/>
      <c r="AB53" s="5"/>
      <c r="AC53" s="5"/>
      <c r="AD53" s="5"/>
    </row>
    <row r="54" customFormat="false" ht="15" hidden="false" customHeight="true" outlineLevel="0" collapsed="false">
      <c r="A54" s="131" t="s">
        <v>3555</v>
      </c>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c r="AA54" s="5"/>
      <c r="AB54" s="5"/>
      <c r="AC54" s="5"/>
      <c r="AD54" s="5"/>
    </row>
    <row r="55" customFormat="false" ht="15" hidden="false" customHeight="true" outlineLevel="0" collapsed="false">
      <c r="A55" s="131" t="s">
        <v>3556</v>
      </c>
      <c r="B55" s="131"/>
      <c r="C55" s="131"/>
      <c r="D55" s="131"/>
      <c r="E55" s="131"/>
      <c r="F55" s="131"/>
      <c r="G55" s="131"/>
      <c r="H55" s="131"/>
      <c r="I55" s="131"/>
      <c r="J55" s="131"/>
      <c r="K55" s="131"/>
      <c r="L55" s="131"/>
      <c r="M55" s="131"/>
      <c r="N55" s="131"/>
      <c r="O55" s="131"/>
      <c r="P55" s="131"/>
      <c r="Q55" s="131"/>
      <c r="R55" s="131"/>
      <c r="S55" s="131"/>
      <c r="T55" s="131"/>
      <c r="U55" s="131"/>
      <c r="V55" s="131"/>
      <c r="W55" s="131"/>
      <c r="X55" s="131"/>
      <c r="Y55" s="131"/>
      <c r="Z55" s="131"/>
      <c r="AA55" s="5"/>
      <c r="AB55" s="5"/>
      <c r="AC55" s="5"/>
      <c r="AD55" s="5"/>
    </row>
  </sheetData>
  <mergeCells count="3">
    <mergeCell ref="A53:Z53"/>
    <mergeCell ref="A54:Z54"/>
    <mergeCell ref="A55:Z55"/>
  </mergeCells>
  <conditionalFormatting sqref="Z2:Z200">
    <cfRule type="expression" priority="2" aboveAverage="0" equalAverage="0" bottom="0" percent="0" rank="0" text="" dxfId="8">
      <formula>$Z2="INCOMPLETE"</formula>
    </cfRule>
    <cfRule type="expression" priority="3" aboveAverage="0" equalAverage="0" bottom="0" percent="0" rank="0" text="" dxfId="9">
      <formula>$Z2="COMPLETE"</formula>
    </cfRule>
  </conditionalFormatting>
  <dataValidations count="3">
    <dataValidation allowBlank="false" errorStyle="stop" operator="between" showDropDown="false" showErrorMessage="false" showInputMessage="false" sqref="Q2:Q200" type="list">
      <formula1>ReferenceStructureRecord!$AB$1:$AB$8</formula1>
      <formula2>0</formula2>
    </dataValidation>
    <dataValidation allowBlank="false" errorStyle="stop" operator="between" showDropDown="false" showErrorMessage="false" showInputMessage="false" sqref="X2:X200" type="list">
      <formula1>ReferenceStructureRecord!$AC$1:$AC$4</formula1>
      <formula2>0</formula2>
    </dataValidation>
    <dataValidation allowBlank="false" errorStyle="stop" operator="between" showDropDown="false" showErrorMessage="false" showInputMessage="false" sqref="R2:R200" type="list">
      <formula1>ReferenceStructureRecord!$AD$1:$AD$7</formula1>
      <formula2>0</formula2>
    </dataValidation>
  </dataValidation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tableParts>
    <tablePart r:id="rId1"/>
  </tableParts>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4" min="1" style="1" width="36"/>
  </cols>
  <sheetData>
    <row r="1" customFormat="false" ht="23.25" hidden="false" customHeight="true" outlineLevel="0" collapsed="false">
      <c r="A1" s="21" t="s">
        <v>3557</v>
      </c>
      <c r="B1" s="21"/>
      <c r="C1" s="21"/>
      <c r="D1" s="21"/>
    </row>
    <row r="2" customFormat="false" ht="15" hidden="false" customHeight="true" outlineLevel="0" collapsed="false">
      <c r="A2" s="11" t="s">
        <v>3558</v>
      </c>
      <c r="B2" s="11" t="s">
        <v>3559</v>
      </c>
      <c r="C2" s="127" t="s">
        <v>3560</v>
      </c>
      <c r="D2" s="127" t="s">
        <v>46</v>
      </c>
    </row>
    <row r="3" customFormat="false" ht="23.25" hidden="false" customHeight="true" outlineLevel="0" collapsed="false">
      <c r="A3" s="22" t="s">
        <v>3561</v>
      </c>
      <c r="B3" s="22" t="s">
        <v>3562</v>
      </c>
      <c r="C3" s="22" t="s">
        <v>3563</v>
      </c>
      <c r="D3" s="22" t="s">
        <v>3564</v>
      </c>
    </row>
    <row r="4" customFormat="false" ht="15" hidden="false" customHeight="true" outlineLevel="0" collapsed="false">
      <c r="A4" s="22" t="s">
        <v>3565</v>
      </c>
      <c r="B4" s="22" t="s">
        <v>3566</v>
      </c>
      <c r="C4" s="22" t="s">
        <v>3567</v>
      </c>
      <c r="D4" s="22" t="s">
        <v>3568</v>
      </c>
    </row>
    <row r="5" customFormat="false" ht="15" hidden="false" customHeight="true" outlineLevel="0" collapsed="false">
      <c r="A5" s="22" t="s">
        <v>3569</v>
      </c>
      <c r="B5" s="22" t="s">
        <v>3570</v>
      </c>
      <c r="C5" s="22" t="s">
        <v>3571</v>
      </c>
      <c r="D5" s="22" t="s">
        <v>3572</v>
      </c>
    </row>
    <row r="6" customFormat="false" ht="15" hidden="false" customHeight="true" outlineLevel="0" collapsed="false">
      <c r="A6" s="22" t="s">
        <v>3573</v>
      </c>
      <c r="B6" s="22" t="s">
        <v>3574</v>
      </c>
      <c r="C6" s="22" t="s">
        <v>3575</v>
      </c>
      <c r="D6" s="22" t="s">
        <v>3576</v>
      </c>
    </row>
    <row r="7" customFormat="false" ht="23.25" hidden="false" customHeight="true" outlineLevel="0" collapsed="false">
      <c r="A7" s="22" t="s">
        <v>3577</v>
      </c>
      <c r="B7" s="22" t="s">
        <v>3578</v>
      </c>
      <c r="C7" s="22" t="s">
        <v>3579</v>
      </c>
      <c r="D7" s="22" t="s">
        <v>3580</v>
      </c>
    </row>
    <row r="8" customFormat="false" ht="15" hidden="false" customHeight="true" outlineLevel="0" collapsed="false">
      <c r="A8" s="22"/>
      <c r="B8" s="22"/>
      <c r="C8" s="22"/>
      <c r="D8" s="22"/>
    </row>
    <row r="9" customFormat="false" ht="15" hidden="false" customHeight="true" outlineLevel="0" collapsed="false">
      <c r="A9" s="5" t="s">
        <v>3581</v>
      </c>
      <c r="B9" s="5" t="s">
        <v>3582</v>
      </c>
      <c r="C9" s="5"/>
      <c r="D9" s="5"/>
    </row>
    <row r="10" customFormat="false" ht="15" hidden="false" customHeight="true" outlineLevel="0" collapsed="false">
      <c r="A10" s="22" t="s">
        <v>3583</v>
      </c>
      <c r="B10" s="22" t="s">
        <v>3584</v>
      </c>
      <c r="C10" s="22"/>
      <c r="D10" s="22"/>
    </row>
    <row r="11" customFormat="false" ht="15" hidden="false" customHeight="true" outlineLevel="0" collapsed="false">
      <c r="A11" s="22" t="s">
        <v>3585</v>
      </c>
      <c r="B11" s="22" t="s">
        <v>3586</v>
      </c>
      <c r="C11" s="22"/>
      <c r="D11" s="22"/>
    </row>
    <row r="12" customFormat="false" ht="23.25" hidden="false" customHeight="true" outlineLevel="0" collapsed="false">
      <c r="A12" s="22" t="s">
        <v>3587</v>
      </c>
      <c r="B12" s="22" t="s">
        <v>3588</v>
      </c>
      <c r="C12" s="22"/>
      <c r="D12" s="22"/>
    </row>
    <row r="13" customFormat="false" ht="15" hidden="false" customHeight="true" outlineLevel="0" collapsed="false">
      <c r="A13" s="22" t="s">
        <v>3309</v>
      </c>
      <c r="B13" s="22" t="s">
        <v>3589</v>
      </c>
      <c r="C13" s="22"/>
      <c r="D13" s="22"/>
    </row>
    <row r="14" customFormat="false" ht="15" hidden="false" customHeight="true" outlineLevel="0" collapsed="false">
      <c r="A14" s="22" t="s">
        <v>3590</v>
      </c>
      <c r="B14" s="22" t="s">
        <v>3591</v>
      </c>
      <c r="C14" s="22"/>
      <c r="D14" s="22"/>
    </row>
    <row r="15" customFormat="false" ht="15" hidden="false" customHeight="true" outlineLevel="0" collapsed="false">
      <c r="A15" s="22" t="s">
        <v>3592</v>
      </c>
      <c r="B15" s="22" t="s">
        <v>3593</v>
      </c>
      <c r="C15" s="22"/>
      <c r="D15" s="22"/>
    </row>
    <row r="16" customFormat="false" ht="15" hidden="false" customHeight="true" outlineLevel="0" collapsed="false">
      <c r="A16" s="22" t="s">
        <v>3594</v>
      </c>
      <c r="B16" s="22" t="s">
        <v>3595</v>
      </c>
      <c r="C16" s="22"/>
      <c r="D16" s="22"/>
    </row>
    <row r="17" customFormat="false" ht="15" hidden="false" customHeight="true" outlineLevel="0" collapsed="false">
      <c r="A17" s="22" t="s">
        <v>3596</v>
      </c>
      <c r="B17" s="22" t="s">
        <v>2658</v>
      </c>
      <c r="C17" s="22"/>
      <c r="D17" s="22"/>
    </row>
    <row r="18" customFormat="false" ht="15" hidden="false" customHeight="true" outlineLevel="0" collapsed="false">
      <c r="A18" s="22"/>
      <c r="B18" s="22"/>
      <c r="C18" s="22"/>
      <c r="D18" s="22"/>
    </row>
    <row r="19" customFormat="false" ht="15" hidden="false" customHeight="true" outlineLevel="0" collapsed="false">
      <c r="A19" s="22"/>
      <c r="B19" s="22"/>
      <c r="C19" s="22"/>
      <c r="D19" s="22"/>
    </row>
    <row r="20" customFormat="false" ht="15" hidden="false" customHeight="true" outlineLevel="0" collapsed="false">
      <c r="A20" s="22"/>
      <c r="B20" s="22"/>
      <c r="C20" s="22"/>
      <c r="D2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4" min="1" style="1" width="36"/>
  </cols>
  <sheetData>
    <row r="1" customFormat="false" ht="23.25" hidden="false" customHeight="true" outlineLevel="0" collapsed="false">
      <c r="A1" s="21" t="s">
        <v>3597</v>
      </c>
      <c r="B1" s="21"/>
      <c r="C1" s="21"/>
      <c r="D1" s="21"/>
    </row>
    <row r="2" customFormat="false" ht="15" hidden="false" customHeight="true" outlineLevel="0" collapsed="false">
      <c r="A2" s="127" t="s">
        <v>3598</v>
      </c>
      <c r="B2" s="127" t="s">
        <v>3599</v>
      </c>
      <c r="C2" s="127" t="s">
        <v>3600</v>
      </c>
      <c r="D2" s="127" t="s">
        <v>1388</v>
      </c>
    </row>
    <row r="3" customFormat="false" ht="15" hidden="false" customHeight="true" outlineLevel="0" collapsed="false">
      <c r="A3" s="22" t="s">
        <v>379</v>
      </c>
      <c r="B3" s="22" t="s">
        <v>3601</v>
      </c>
      <c r="C3" s="22" t="s">
        <v>3602</v>
      </c>
      <c r="D3" s="22" t="s">
        <v>3603</v>
      </c>
    </row>
    <row r="4" customFormat="false" ht="23.25" hidden="false" customHeight="true" outlineLevel="0" collapsed="false">
      <c r="A4" s="22" t="s">
        <v>2513</v>
      </c>
      <c r="B4" s="22" t="s">
        <v>3604</v>
      </c>
      <c r="C4" s="22" t="s">
        <v>3605</v>
      </c>
      <c r="D4" s="22" t="s">
        <v>3606</v>
      </c>
    </row>
    <row r="5" customFormat="false" ht="15" hidden="false" customHeight="true" outlineLevel="0" collapsed="false">
      <c r="A5" s="22" t="s">
        <v>388</v>
      </c>
      <c r="B5" s="22" t="s">
        <v>3607</v>
      </c>
      <c r="C5" s="22" t="s">
        <v>3608</v>
      </c>
      <c r="D5" s="22" t="s">
        <v>3609</v>
      </c>
    </row>
    <row r="6" customFormat="false" ht="15" hidden="false" customHeight="true" outlineLevel="0" collapsed="false">
      <c r="A6" s="22" t="s">
        <v>2518</v>
      </c>
      <c r="B6" s="22" t="s">
        <v>3610</v>
      </c>
      <c r="C6" s="22" t="s">
        <v>3611</v>
      </c>
      <c r="D6" s="22" t="s">
        <v>3612</v>
      </c>
    </row>
    <row r="7" customFormat="false" ht="23.25" hidden="false" customHeight="true" outlineLevel="0" collapsed="false">
      <c r="A7" s="22" t="s">
        <v>3613</v>
      </c>
      <c r="B7" s="22" t="s">
        <v>3614</v>
      </c>
      <c r="C7" s="22" t="s">
        <v>3615</v>
      </c>
      <c r="D7" s="22" t="s">
        <v>3616</v>
      </c>
    </row>
    <row r="8" customFormat="false" ht="15" hidden="false" customHeight="true" outlineLevel="0" collapsed="false">
      <c r="A8" s="22" t="s">
        <v>3617</v>
      </c>
      <c r="B8" s="22" t="s">
        <v>3618</v>
      </c>
      <c r="C8" s="22" t="s">
        <v>3619</v>
      </c>
      <c r="D8" s="22" t="s">
        <v>3620</v>
      </c>
    </row>
    <row r="9" customFormat="false" ht="23.25" hidden="false" customHeight="true" outlineLevel="0" collapsed="false">
      <c r="A9" s="22" t="s">
        <v>3621</v>
      </c>
      <c r="B9" s="22" t="s">
        <v>3622</v>
      </c>
      <c r="C9" s="22" t="s">
        <v>3623</v>
      </c>
      <c r="D9" s="22" t="s">
        <v>3624</v>
      </c>
    </row>
    <row r="10" customFormat="false" ht="15" hidden="false" customHeight="true" outlineLevel="0" collapsed="false">
      <c r="A10" s="22"/>
      <c r="B10" s="22"/>
      <c r="C10" s="22"/>
      <c r="D10" s="22"/>
    </row>
    <row r="11" customFormat="false" ht="15" hidden="false" customHeight="true" outlineLevel="0" collapsed="false">
      <c r="A11" s="22"/>
      <c r="B11" s="22"/>
      <c r="C11" s="22"/>
      <c r="D11" s="22"/>
    </row>
    <row r="12" customFormat="false" ht="15" hidden="false" customHeight="true" outlineLevel="0" collapsed="false">
      <c r="A12" s="22"/>
      <c r="B12" s="22"/>
      <c r="C12" s="22"/>
      <c r="D12" s="22"/>
    </row>
    <row r="13" customFormat="false" ht="15" hidden="false" customHeight="true" outlineLevel="0" collapsed="false">
      <c r="A13" s="22"/>
      <c r="B13" s="22"/>
      <c r="C13" s="22"/>
      <c r="D13" s="22"/>
    </row>
    <row r="14" customFormat="false" ht="15" hidden="false" customHeight="true" outlineLevel="0" collapsed="false">
      <c r="A14" s="22"/>
      <c r="B14" s="22"/>
      <c r="C14" s="22"/>
      <c r="D14" s="22"/>
    </row>
    <row r="15" customFormat="false" ht="15" hidden="false" customHeight="true" outlineLevel="0" collapsed="false">
      <c r="A15" s="22"/>
      <c r="B15" s="22"/>
      <c r="C15" s="22"/>
      <c r="D15" s="22"/>
    </row>
    <row r="16" customFormat="false" ht="15" hidden="false" customHeight="true" outlineLevel="0" collapsed="false">
      <c r="A16" s="22"/>
      <c r="B16" s="22"/>
      <c r="C16" s="22"/>
      <c r="D16" s="22"/>
    </row>
    <row r="17" customFormat="false" ht="15" hidden="false" customHeight="true" outlineLevel="0" collapsed="false">
      <c r="A17" s="22"/>
      <c r="B17" s="22"/>
      <c r="C17" s="22"/>
      <c r="D17" s="22"/>
    </row>
    <row r="18" customFormat="false" ht="15" hidden="false" customHeight="true" outlineLevel="0" collapsed="false">
      <c r="A18" s="22"/>
      <c r="B18" s="22"/>
      <c r="C18" s="22"/>
      <c r="D18" s="22"/>
    </row>
    <row r="19" customFormat="false" ht="15" hidden="false" customHeight="true" outlineLevel="0" collapsed="false">
      <c r="A19" s="22"/>
      <c r="B19" s="22"/>
      <c r="C19" s="22"/>
      <c r="D19" s="22"/>
    </row>
    <row r="20" customFormat="false" ht="15" hidden="false" customHeight="true" outlineLevel="0" collapsed="false">
      <c r="A20" s="22"/>
      <c r="B20" s="22"/>
      <c r="C20" s="22"/>
      <c r="D2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4" min="1" style="1" width="36"/>
  </cols>
  <sheetData>
    <row r="1" customFormat="false" ht="23.25" hidden="false" customHeight="true" outlineLevel="0" collapsed="false">
      <c r="A1" s="21" t="s">
        <v>3625</v>
      </c>
      <c r="B1" s="21"/>
      <c r="C1" s="21"/>
      <c r="D1" s="21"/>
    </row>
    <row r="2" customFormat="false" ht="15" hidden="false" customHeight="true" outlineLevel="0" collapsed="false">
      <c r="A2" s="127" t="s">
        <v>241</v>
      </c>
      <c r="B2" s="127" t="s">
        <v>1682</v>
      </c>
      <c r="C2" s="127" t="s">
        <v>1683</v>
      </c>
      <c r="D2" s="127" t="s">
        <v>71</v>
      </c>
    </row>
    <row r="3" customFormat="false" ht="15" hidden="false" customHeight="true" outlineLevel="0" collapsed="false">
      <c r="A3" s="22" t="s">
        <v>3626</v>
      </c>
      <c r="B3" s="22" t="s">
        <v>3627</v>
      </c>
      <c r="C3" s="22" t="s">
        <v>3627</v>
      </c>
      <c r="D3" s="22" t="s">
        <v>3628</v>
      </c>
    </row>
    <row r="4" customFormat="false" ht="15" hidden="false" customHeight="true" outlineLevel="0" collapsed="false">
      <c r="A4" s="22" t="s">
        <v>3629</v>
      </c>
      <c r="B4" s="22" t="s">
        <v>3630</v>
      </c>
      <c r="C4" s="22" t="s">
        <v>3630</v>
      </c>
      <c r="D4" s="22" t="s">
        <v>3631</v>
      </c>
    </row>
    <row r="5" customFormat="false" ht="15" hidden="false" customHeight="true" outlineLevel="0" collapsed="false">
      <c r="A5" s="22" t="s">
        <v>3632</v>
      </c>
      <c r="B5" s="22" t="s">
        <v>3633</v>
      </c>
      <c r="C5" s="22" t="s">
        <v>3633</v>
      </c>
      <c r="D5" s="22" t="s">
        <v>3634</v>
      </c>
    </row>
    <row r="6" customFormat="false" ht="15" hidden="false" customHeight="true" outlineLevel="0" collapsed="false">
      <c r="A6" s="22" t="s">
        <v>3635</v>
      </c>
      <c r="B6" s="22" t="s">
        <v>3636</v>
      </c>
      <c r="C6" s="22" t="s">
        <v>3636</v>
      </c>
      <c r="D6" s="22" t="s">
        <v>3637</v>
      </c>
    </row>
    <row r="7" customFormat="false" ht="15" hidden="false" customHeight="true" outlineLevel="0" collapsed="false">
      <c r="A7" s="22" t="s">
        <v>3638</v>
      </c>
      <c r="B7" s="22" t="s">
        <v>3639</v>
      </c>
      <c r="C7" s="22" t="s">
        <v>3639</v>
      </c>
      <c r="D7" s="22" t="s">
        <v>3640</v>
      </c>
    </row>
    <row r="8" customFormat="false" ht="15" hidden="false" customHeight="true" outlineLevel="0" collapsed="false">
      <c r="A8" s="22" t="s">
        <v>3641</v>
      </c>
      <c r="B8" s="22" t="s">
        <v>3642</v>
      </c>
      <c r="C8" s="22" t="s">
        <v>3642</v>
      </c>
      <c r="D8" s="22" t="s">
        <v>3643</v>
      </c>
    </row>
    <row r="9" customFormat="false" ht="15" hidden="false" customHeight="true" outlineLevel="0" collapsed="false">
      <c r="A9" s="22" t="s">
        <v>3644</v>
      </c>
      <c r="B9" s="22" t="s">
        <v>3645</v>
      </c>
      <c r="C9" s="22" t="s">
        <v>3645</v>
      </c>
      <c r="D9" s="22" t="s">
        <v>3646</v>
      </c>
    </row>
    <row r="10" customFormat="false" ht="15" hidden="false" customHeight="true" outlineLevel="0" collapsed="false">
      <c r="A10" s="22" t="s">
        <v>3647</v>
      </c>
      <c r="B10" s="22" t="s">
        <v>3648</v>
      </c>
      <c r="C10" s="22" t="s">
        <v>3648</v>
      </c>
      <c r="D10" s="22" t="s">
        <v>3649</v>
      </c>
    </row>
    <row r="11" customFormat="false" ht="23.25" hidden="false" customHeight="true" outlineLevel="0" collapsed="false">
      <c r="A11" s="22" t="s">
        <v>3650</v>
      </c>
      <c r="B11" s="22" t="s">
        <v>3651</v>
      </c>
      <c r="C11" s="22" t="s">
        <v>3651</v>
      </c>
      <c r="D11" s="22" t="s">
        <v>3652</v>
      </c>
    </row>
    <row r="12" customFormat="false" ht="15" hidden="false" customHeight="true" outlineLevel="0" collapsed="false">
      <c r="A12" s="22"/>
      <c r="B12" s="22"/>
      <c r="C12" s="22"/>
      <c r="D12" s="22"/>
    </row>
    <row r="13" customFormat="false" ht="15" hidden="false" customHeight="true" outlineLevel="0" collapsed="false">
      <c r="A13" s="22"/>
      <c r="B13" s="22"/>
      <c r="C13" s="22"/>
      <c r="D13" s="22"/>
    </row>
    <row r="14" customFormat="false" ht="15" hidden="false" customHeight="true" outlineLevel="0" collapsed="false">
      <c r="A14" s="22"/>
      <c r="B14" s="22"/>
      <c r="C14" s="22"/>
      <c r="D14" s="22"/>
    </row>
    <row r="15" customFormat="false" ht="15" hidden="false" customHeight="true" outlineLevel="0" collapsed="false">
      <c r="A15" s="22"/>
      <c r="B15" s="22"/>
      <c r="C15" s="22"/>
      <c r="D15" s="22"/>
    </row>
    <row r="16" customFormat="false" ht="15" hidden="false" customHeight="true" outlineLevel="0" collapsed="false">
      <c r="A16" s="22"/>
      <c r="B16" s="22"/>
      <c r="C16" s="22"/>
      <c r="D16" s="22"/>
    </row>
    <row r="17" customFormat="false" ht="15" hidden="false" customHeight="true" outlineLevel="0" collapsed="false">
      <c r="A17" s="22"/>
      <c r="B17" s="22"/>
      <c r="C17" s="22"/>
      <c r="D17" s="22"/>
    </row>
    <row r="18" customFormat="false" ht="15" hidden="false" customHeight="true" outlineLevel="0" collapsed="false">
      <c r="A18" s="22"/>
      <c r="B18" s="22"/>
      <c r="C18" s="22"/>
      <c r="D18" s="22"/>
    </row>
    <row r="19" customFormat="false" ht="15" hidden="false" customHeight="true" outlineLevel="0" collapsed="false">
      <c r="A19" s="22"/>
      <c r="B19" s="22"/>
      <c r="C19" s="22"/>
      <c r="D19" s="22"/>
    </row>
    <row r="20" customFormat="false" ht="15" hidden="false" customHeight="true" outlineLevel="0" collapsed="false">
      <c r="A20" s="22"/>
      <c r="B20" s="22"/>
      <c r="C20" s="22"/>
      <c r="D20" s="22"/>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3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4" min="1" style="1" width="36"/>
  </cols>
  <sheetData>
    <row r="1" customFormat="false" ht="23.25" hidden="false" customHeight="true" outlineLevel="0" collapsed="false">
      <c r="A1" s="21" t="s">
        <v>3653</v>
      </c>
      <c r="B1" s="21"/>
      <c r="C1" s="21"/>
      <c r="D1" s="21"/>
    </row>
    <row r="2" customFormat="false" ht="15" hidden="false" customHeight="false" outlineLevel="0" collapsed="false">
      <c r="A2" s="5"/>
      <c r="B2" s="5"/>
      <c r="C2" s="5"/>
      <c r="D2" s="5"/>
    </row>
    <row r="3" customFormat="false" ht="15" hidden="false" customHeight="true" outlineLevel="0" collapsed="false">
      <c r="A3" s="127" t="s">
        <v>241</v>
      </c>
      <c r="B3" s="127" t="s">
        <v>242</v>
      </c>
      <c r="C3" s="127" t="s">
        <v>3267</v>
      </c>
      <c r="D3" s="127" t="s">
        <v>3654</v>
      </c>
    </row>
    <row r="4" customFormat="false" ht="15" hidden="false" customHeight="true" outlineLevel="0" collapsed="false">
      <c r="A4" s="22" t="s">
        <v>3655</v>
      </c>
      <c r="B4" s="22" t="str">
        <f aca="false">B30</f>
        <v>REFUSE_DETERMINISTIC_SELECTION</v>
      </c>
      <c r="C4" s="22" t="s">
        <v>3656</v>
      </c>
      <c r="D4" s="22" t="s">
        <v>3657</v>
      </c>
    </row>
    <row r="5" customFormat="false" ht="15" hidden="false" customHeight="true" outlineLevel="0" collapsed="false">
      <c r="A5" s="22" t="s">
        <v>3658</v>
      </c>
      <c r="B5" s="22" t="str">
        <f aca="false">B31</f>
        <v>{A, B}</v>
      </c>
      <c r="C5" s="22" t="s">
        <v>3659</v>
      </c>
      <c r="D5" s="22" t="s">
        <v>3660</v>
      </c>
    </row>
    <row r="6" customFormat="false" ht="15" hidden="false" customHeight="true" outlineLevel="0" collapsed="false">
      <c r="A6" s="22" t="s">
        <v>3661</v>
      </c>
      <c r="B6" s="22" t="str">
        <f aca="false">B32</f>
        <v>NO</v>
      </c>
      <c r="C6" s="22" t="s">
        <v>3662</v>
      </c>
      <c r="D6" s="22" t="s">
        <v>3663</v>
      </c>
    </row>
    <row r="7" customFormat="false" ht="15" hidden="false" customHeight="true" outlineLevel="0" collapsed="false">
      <c r="A7" s="22" t="s">
        <v>1298</v>
      </c>
      <c r="B7" s="22" t="s">
        <v>971</v>
      </c>
      <c r="C7" s="22" t="s">
        <v>3664</v>
      </c>
      <c r="D7" s="22" t="s">
        <v>3665</v>
      </c>
    </row>
    <row r="8" customFormat="false" ht="15" hidden="false" customHeight="true" outlineLevel="0" collapsed="false">
      <c r="A8" s="22" t="s">
        <v>3666</v>
      </c>
      <c r="B8" s="22" t="s">
        <v>3667</v>
      </c>
      <c r="C8" s="22" t="s">
        <v>3668</v>
      </c>
      <c r="D8" s="22" t="s">
        <v>3669</v>
      </c>
    </row>
    <row r="9" customFormat="false" ht="15" hidden="false" customHeight="true" outlineLevel="0" collapsed="false">
      <c r="A9" s="22" t="s">
        <v>3670</v>
      </c>
      <c r="B9" s="22" t="s">
        <v>3671</v>
      </c>
      <c r="C9" s="22" t="s">
        <v>3672</v>
      </c>
      <c r="D9" s="22" t="s">
        <v>3673</v>
      </c>
    </row>
    <row r="10" customFormat="false" ht="15" hidden="false" customHeight="true" outlineLevel="0" collapsed="false">
      <c r="A10" s="22" t="s">
        <v>3674</v>
      </c>
      <c r="B10" s="22" t="s">
        <v>3675</v>
      </c>
      <c r="C10" s="22" t="s">
        <v>3676</v>
      </c>
      <c r="D10" s="22" t="s">
        <v>3677</v>
      </c>
    </row>
    <row r="11" customFormat="false" ht="15" hidden="false" customHeight="true" outlineLevel="0" collapsed="false">
      <c r="A11" s="22" t="s">
        <v>3678</v>
      </c>
      <c r="B11" s="22" t="s">
        <v>3679</v>
      </c>
      <c r="C11" s="22" t="s">
        <v>3680</v>
      </c>
      <c r="D11" s="22" t="s">
        <v>3681</v>
      </c>
    </row>
    <row r="12" customFormat="false" ht="15" hidden="false" customHeight="true" outlineLevel="0" collapsed="false">
      <c r="A12" s="22" t="s">
        <v>998</v>
      </c>
      <c r="B12" s="22" t="s">
        <v>3682</v>
      </c>
      <c r="C12" s="22" t="s">
        <v>3683</v>
      </c>
      <c r="D12" s="22" t="s">
        <v>3684</v>
      </c>
    </row>
    <row r="13" customFormat="false" ht="15" hidden="false" customHeight="false" outlineLevel="0" collapsed="false">
      <c r="A13" s="5"/>
      <c r="B13" s="5"/>
      <c r="C13" s="5"/>
      <c r="D13" s="5"/>
    </row>
    <row r="14" customFormat="false" ht="15" hidden="false" customHeight="true" outlineLevel="0" collapsed="false">
      <c r="A14" s="22" t="s">
        <v>3685</v>
      </c>
      <c r="B14" s="22" t="s">
        <v>3686</v>
      </c>
      <c r="C14" s="22" t="s">
        <v>3687</v>
      </c>
      <c r="D14" s="22" t="s">
        <v>3688</v>
      </c>
    </row>
    <row r="15" customFormat="false" ht="15" hidden="false" customHeight="true" outlineLevel="0" collapsed="false">
      <c r="A15" s="22" t="s">
        <v>3685</v>
      </c>
      <c r="B15" s="22" t="s">
        <v>3211</v>
      </c>
      <c r="C15" s="22" t="s">
        <v>3689</v>
      </c>
      <c r="D15" s="22" t="s">
        <v>3690</v>
      </c>
    </row>
    <row r="16" customFormat="false" ht="15" hidden="false" customHeight="true" outlineLevel="0" collapsed="false">
      <c r="A16" s="22" t="s">
        <v>3685</v>
      </c>
      <c r="B16" s="22" t="s">
        <v>3691</v>
      </c>
      <c r="C16" s="22" t="s">
        <v>3692</v>
      </c>
      <c r="D16" s="22" t="s">
        <v>3693</v>
      </c>
    </row>
    <row r="17" customFormat="false" ht="15" hidden="false" customHeight="true" outlineLevel="0" collapsed="false">
      <c r="A17" s="22" t="s">
        <v>3685</v>
      </c>
      <c r="B17" s="22" t="s">
        <v>1121</v>
      </c>
      <c r="C17" s="22" t="s">
        <v>3694</v>
      </c>
      <c r="D17" s="22" t="s">
        <v>3695</v>
      </c>
    </row>
    <row r="18" customFormat="false" ht="15" hidden="false" customHeight="false" outlineLevel="0" collapsed="false">
      <c r="A18" s="5"/>
      <c r="B18" s="5"/>
      <c r="C18" s="5"/>
      <c r="D18" s="5"/>
    </row>
    <row r="19" customFormat="false" ht="15" hidden="false" customHeight="true" outlineLevel="0" collapsed="false">
      <c r="A19" s="22" t="s">
        <v>3696</v>
      </c>
      <c r="B19" s="22" t="s">
        <v>3697</v>
      </c>
      <c r="C19" s="22" t="s">
        <v>3698</v>
      </c>
      <c r="D19" s="22" t="s">
        <v>3699</v>
      </c>
    </row>
    <row r="20" customFormat="false" ht="15" hidden="false" customHeight="false" outlineLevel="0" collapsed="false">
      <c r="A20" s="5"/>
      <c r="B20" s="5"/>
      <c r="C20" s="5"/>
      <c r="D20" s="5"/>
    </row>
    <row r="21" customFormat="false" ht="15" hidden="false" customHeight="true" outlineLevel="0" collapsed="false">
      <c r="A21" s="22" t="s">
        <v>3700</v>
      </c>
      <c r="B21" s="22" t="s">
        <v>3701</v>
      </c>
      <c r="C21" s="22" t="s">
        <v>3702</v>
      </c>
      <c r="D21" s="22" t="s">
        <v>3703</v>
      </c>
    </row>
    <row r="22" customFormat="false" ht="15" hidden="false" customHeight="false" outlineLevel="0" collapsed="false">
      <c r="A22" s="5"/>
      <c r="B22" s="5"/>
      <c r="C22" s="5"/>
      <c r="D22" s="5"/>
    </row>
    <row r="23" customFormat="false" ht="15" hidden="false" customHeight="false" outlineLevel="0" collapsed="false">
      <c r="A23" s="5"/>
      <c r="B23" s="5"/>
      <c r="C23" s="5"/>
      <c r="D23" s="5"/>
    </row>
    <row r="24" customFormat="false" ht="15" hidden="false" customHeight="true" outlineLevel="0" collapsed="false">
      <c r="A24" s="22" t="s">
        <v>3704</v>
      </c>
      <c r="B24" s="5"/>
      <c r="C24" s="5"/>
      <c r="D24" s="5"/>
    </row>
    <row r="25" customFormat="false" ht="15" hidden="false" customHeight="true" outlineLevel="0" collapsed="false">
      <c r="A25" s="22" t="s">
        <v>3705</v>
      </c>
      <c r="B25" s="22" t="n">
        <f aca="false">IF(AND(CANON!B51="PASS",CANON!B56="PASS",ISNUMBER(SEARCH("PASS",CANON!B60))),1,0)</f>
        <v>1</v>
      </c>
      <c r="C25" s="5"/>
      <c r="D25" s="5"/>
    </row>
    <row r="26" customFormat="false" ht="15" hidden="false" customHeight="true" outlineLevel="0" collapsed="false">
      <c r="A26" s="22" t="s">
        <v>3706</v>
      </c>
      <c r="B26" s="22" t="n">
        <f aca="false">IF(AND(CANON!B52="PASS",CANON!B57="PASS",ISNUMBER(SEARCH("PASS",CANON!B61))),1,0)</f>
        <v>1</v>
      </c>
      <c r="C26" s="5"/>
      <c r="D26" s="5"/>
    </row>
    <row r="27" customFormat="false" ht="15" hidden="false" customHeight="true" outlineLevel="0" collapsed="false">
      <c r="A27" s="22" t="s">
        <v>3707</v>
      </c>
      <c r="B27" s="22" t="n">
        <f aca="false">B25+B26</f>
        <v>2</v>
      </c>
      <c r="C27" s="5"/>
      <c r="D27" s="5"/>
    </row>
    <row r="28" customFormat="false" ht="15" hidden="false" customHeight="true" outlineLevel="0" collapsed="false">
      <c r="A28" s="22" t="s">
        <v>3708</v>
      </c>
      <c r="B28" s="22" t="str">
        <f aca="false">CANON!B59</f>
        <v>NO</v>
      </c>
      <c r="C28" s="5"/>
      <c r="D28" s="5"/>
    </row>
    <row r="29" customFormat="false" ht="15" hidden="false" customHeight="true" outlineLevel="0" collapsed="false">
      <c r="A29" s="22" t="s">
        <v>3709</v>
      </c>
      <c r="B29" s="22" t="str">
        <f aca="false">CANON!B73</f>
        <v>NO</v>
      </c>
      <c r="C29" s="5"/>
      <c r="D29" s="5"/>
    </row>
    <row r="30" customFormat="false" ht="15" hidden="false" customHeight="true" outlineLevel="0" collapsed="false">
      <c r="A30" s="22" t="s">
        <v>3710</v>
      </c>
      <c r="B30" s="22" t="str">
        <f aca="false">IF(B27=0,"BLOCK",IF(B29="YES","ESCALATE",IF(OR(B27=1,AND(B27&gt;1,B28="YES")),"ALLOW_FRAMEWORK_SELECTION","REFUSE_DETERMINISTIC_SELECTION")))</f>
        <v>REFUSE_DETERMINISTIC_SELECTION</v>
      </c>
      <c r="C30" s="5"/>
      <c r="D30" s="5"/>
    </row>
    <row r="31" customFormat="false" ht="15" hidden="false" customHeight="true" outlineLevel="0" collapsed="false">
      <c r="A31" s="22" t="s">
        <v>3711</v>
      </c>
      <c r="B31" s="22" t="str">
        <f aca="false">"{"&amp;IF(B25=1,"A","")&amp;IF(AND(B25=1,B26=1),", ","")&amp;IF(B26=1,"B","")&amp;"}"</f>
        <v>{A, B}</v>
      </c>
      <c r="C31" s="5"/>
      <c r="D31" s="5"/>
    </row>
    <row r="32" customFormat="false" ht="15" hidden="false" customHeight="true" outlineLevel="0" collapsed="false">
      <c r="A32" s="22" t="s">
        <v>3712</v>
      </c>
      <c r="B32" s="22" t="str">
        <f aca="false">IF(B30="ALLOW_FRAMEWORK_SELECTION","YES","NO")</f>
        <v>NO</v>
      </c>
      <c r="C32" s="5"/>
      <c r="D32" s="5"/>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1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4" min="1" style="1" width="36"/>
  </cols>
  <sheetData>
    <row r="1" customFormat="false" ht="16.5" hidden="false" customHeight="true" outlineLevel="0" collapsed="false">
      <c r="A1" s="3" t="s">
        <v>3713</v>
      </c>
      <c r="B1" s="3"/>
      <c r="C1" s="3"/>
      <c r="D1" s="3"/>
    </row>
    <row r="2" customFormat="false" ht="15" hidden="false" customHeight="true" outlineLevel="0" collapsed="false">
      <c r="A2" s="13" t="s">
        <v>241</v>
      </c>
      <c r="B2" s="13" t="s">
        <v>242</v>
      </c>
      <c r="C2" s="13" t="s">
        <v>3267</v>
      </c>
      <c r="D2" s="13" t="s">
        <v>3714</v>
      </c>
    </row>
    <row r="3" customFormat="false" ht="15" hidden="false" customHeight="true" outlineLevel="0" collapsed="false">
      <c r="A3" s="5" t="s">
        <v>603</v>
      </c>
      <c r="B3" s="5" t="s">
        <v>604</v>
      </c>
      <c r="C3" s="5" t="s">
        <v>3715</v>
      </c>
      <c r="D3" s="5" t="s">
        <v>3716</v>
      </c>
    </row>
    <row r="4" customFormat="false" ht="48" hidden="false" customHeight="true" outlineLevel="0" collapsed="false">
      <c r="A4" s="5" t="s">
        <v>5</v>
      </c>
      <c r="B4" s="5" t="s">
        <v>3717</v>
      </c>
      <c r="C4" s="5" t="s">
        <v>3718</v>
      </c>
      <c r="D4" s="5" t="s">
        <v>3719</v>
      </c>
    </row>
    <row r="5" customFormat="false" ht="15" hidden="false" customHeight="true" outlineLevel="0" collapsed="false">
      <c r="A5" s="5" t="s">
        <v>7</v>
      </c>
      <c r="B5" s="5" t="s">
        <v>606</v>
      </c>
      <c r="C5" s="5" t="s">
        <v>3720</v>
      </c>
      <c r="D5" s="5" t="s">
        <v>3721</v>
      </c>
    </row>
    <row r="6" customFormat="false" ht="15" hidden="false" customHeight="true" outlineLevel="0" collapsed="false">
      <c r="A6" s="5" t="s">
        <v>607</v>
      </c>
      <c r="B6" s="5" t="s">
        <v>128</v>
      </c>
      <c r="C6" s="5" t="s">
        <v>3722</v>
      </c>
      <c r="D6" s="5" t="s">
        <v>3723</v>
      </c>
    </row>
    <row r="7" customFormat="false" ht="15" hidden="false" customHeight="true" outlineLevel="0" collapsed="false">
      <c r="A7" s="5" t="s">
        <v>3724</v>
      </c>
      <c r="B7" s="5" t="s">
        <v>3725</v>
      </c>
      <c r="C7" s="5" t="s">
        <v>3726</v>
      </c>
      <c r="D7" s="5" t="s">
        <v>3727</v>
      </c>
    </row>
    <row r="8" customFormat="false" ht="15" hidden="false" customHeight="true" outlineLevel="0" collapsed="false">
      <c r="A8" s="5" t="s">
        <v>3728</v>
      </c>
      <c r="B8" s="5" t="s">
        <v>1317</v>
      </c>
      <c r="C8" s="5" t="s">
        <v>3729</v>
      </c>
      <c r="D8" s="5" t="s">
        <v>3730</v>
      </c>
    </row>
    <row r="9" customFormat="false" ht="15" hidden="false" customHeight="true" outlineLevel="0" collapsed="false">
      <c r="A9" s="5" t="s">
        <v>3731</v>
      </c>
      <c r="B9" s="5" t="s">
        <v>3732</v>
      </c>
      <c r="C9" s="5" t="s">
        <v>3733</v>
      </c>
      <c r="D9" s="5" t="s">
        <v>3734</v>
      </c>
    </row>
    <row r="10" customFormat="false" ht="15" hidden="false" customHeight="true" outlineLevel="0" collapsed="false">
      <c r="A10" s="5" t="s">
        <v>3735</v>
      </c>
      <c r="B10" s="5" t="s">
        <v>3736</v>
      </c>
      <c r="C10" s="5" t="s">
        <v>3737</v>
      </c>
      <c r="D10" s="5" t="s">
        <v>3738</v>
      </c>
    </row>
    <row r="11" customFormat="false" ht="15" hidden="false" customHeight="true" outlineLevel="0" collapsed="false">
      <c r="A11" s="5" t="s">
        <v>3739</v>
      </c>
      <c r="B11" s="5" t="s">
        <v>3740</v>
      </c>
      <c r="C11" s="5" t="s">
        <v>3741</v>
      </c>
      <c r="D11" s="5" t="s">
        <v>3742</v>
      </c>
    </row>
    <row r="12" customFormat="false" ht="15" hidden="false" customHeight="true" outlineLevel="0" collapsed="false">
      <c r="A12" s="5" t="s">
        <v>3743</v>
      </c>
      <c r="B12" s="5" t="s">
        <v>3744</v>
      </c>
      <c r="C12" s="5" t="s">
        <v>3745</v>
      </c>
      <c r="D12" s="5" t="s">
        <v>3746</v>
      </c>
    </row>
    <row r="13" customFormat="false" ht="15" hidden="false" customHeight="true" outlineLevel="0" collapsed="false">
      <c r="A13" s="5" t="s">
        <v>3747</v>
      </c>
      <c r="B13" s="5" t="s">
        <v>3748</v>
      </c>
      <c r="C13" s="5" t="s">
        <v>3749</v>
      </c>
      <c r="D13" s="5" t="s">
        <v>3750</v>
      </c>
    </row>
    <row r="14" customFormat="false" ht="15" hidden="false" customHeight="true" outlineLevel="0" collapsed="false">
      <c r="A14" s="5" t="s">
        <v>3751</v>
      </c>
      <c r="B14" s="5" t="s">
        <v>3752</v>
      </c>
      <c r="C14" s="5" t="s">
        <v>3753</v>
      </c>
      <c r="D14" s="5" t="s">
        <v>3754</v>
      </c>
    </row>
    <row r="15" customFormat="false" ht="15" hidden="false" customHeight="true" outlineLevel="0" collapsed="false">
      <c r="A15" s="5" t="s">
        <v>3755</v>
      </c>
      <c r="B15" s="5" t="s">
        <v>3756</v>
      </c>
      <c r="C15" s="5" t="s">
        <v>110</v>
      </c>
      <c r="D15" s="5" t="s">
        <v>3757</v>
      </c>
    </row>
    <row r="16" customFormat="false" ht="15" hidden="false" customHeight="true" outlineLevel="0" collapsed="false">
      <c r="A16" s="5" t="s">
        <v>3758</v>
      </c>
      <c r="B16" s="5" t="s">
        <v>3759</v>
      </c>
      <c r="C16" s="5" t="s">
        <v>3760</v>
      </c>
      <c r="D16" s="5" t="s">
        <v>3761</v>
      </c>
    </row>
    <row r="17" customFormat="false" ht="24" hidden="false" customHeight="true" outlineLevel="0" collapsed="false">
      <c r="A17" s="5" t="s">
        <v>3762</v>
      </c>
      <c r="B17" s="5" t="s">
        <v>3763</v>
      </c>
      <c r="C17" s="5" t="s">
        <v>3764</v>
      </c>
      <c r="D17" s="5" t="s">
        <v>3765</v>
      </c>
    </row>
    <row r="18" customFormat="false" ht="15" hidden="false" customHeight="true" outlineLevel="0" collapsed="false">
      <c r="A18" s="5" t="s">
        <v>3766</v>
      </c>
      <c r="B18" s="5" t="s">
        <v>3767</v>
      </c>
      <c r="C18" s="5" t="s">
        <v>3768</v>
      </c>
      <c r="D18" s="5" t="s">
        <v>3769</v>
      </c>
    </row>
  </sheetData>
  <mergeCells count="1">
    <mergeCell ref="A1:D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8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2" min="1" style="2" width="36"/>
    <col collapsed="false" customWidth="true" hidden="false" outlineLevel="0" max="4" min="3" style="2" width="10"/>
  </cols>
  <sheetData>
    <row r="1" customFormat="false" ht="27.75" hidden="false" customHeight="true" outlineLevel="0" collapsed="false">
      <c r="A1" s="3" t="s">
        <v>3770</v>
      </c>
      <c r="B1" s="3" t="s">
        <v>3771</v>
      </c>
      <c r="C1" s="3"/>
      <c r="D1" s="3"/>
    </row>
    <row r="2" customFormat="false" ht="43.5" hidden="false" customHeight="true" outlineLevel="0" collapsed="false">
      <c r="A2" s="4" t="s">
        <v>603</v>
      </c>
      <c r="B2" s="5" t="s">
        <v>604</v>
      </c>
      <c r="C2" s="5"/>
      <c r="D2" s="5"/>
    </row>
    <row r="3" customFormat="false" ht="43.5" hidden="false" customHeight="true" outlineLevel="0" collapsed="false">
      <c r="A3" s="4" t="s">
        <v>3743</v>
      </c>
      <c r="B3" s="5" t="s">
        <v>3744</v>
      </c>
      <c r="C3" s="5"/>
      <c r="D3" s="5"/>
    </row>
    <row r="4" customFormat="false" ht="43.5" hidden="false" customHeight="true" outlineLevel="0" collapsed="false">
      <c r="A4" s="4" t="s">
        <v>3739</v>
      </c>
      <c r="B4" s="5" t="s">
        <v>3740</v>
      </c>
      <c r="C4" s="5"/>
      <c r="D4" s="5"/>
    </row>
    <row r="5" customFormat="false" ht="43.5" hidden="false" customHeight="true" outlineLevel="0" collapsed="false">
      <c r="A5" s="4" t="s">
        <v>3772</v>
      </c>
      <c r="B5" s="5" t="s">
        <v>3773</v>
      </c>
      <c r="C5" s="5"/>
      <c r="D5" s="5"/>
    </row>
    <row r="6" customFormat="false" ht="43.5" hidden="false" customHeight="true" outlineLevel="0" collapsed="false">
      <c r="A6" s="4" t="s">
        <v>3774</v>
      </c>
      <c r="B6" s="5" t="s">
        <v>3775</v>
      </c>
      <c r="C6" s="5"/>
      <c r="D6" s="5"/>
    </row>
    <row r="7" customFormat="false" ht="43.5" hidden="false" customHeight="true" outlineLevel="0" collapsed="false">
      <c r="A7" s="4" t="s">
        <v>3776</v>
      </c>
      <c r="B7" s="5" t="s">
        <v>3777</v>
      </c>
      <c r="C7" s="5"/>
      <c r="D7" s="5"/>
    </row>
    <row r="8" customFormat="false" ht="43.5" hidden="false" customHeight="true" outlineLevel="0" collapsed="false">
      <c r="A8" s="4" t="s">
        <v>3762</v>
      </c>
      <c r="B8" s="5" t="s">
        <v>3778</v>
      </c>
      <c r="C8" s="5"/>
      <c r="D8" s="5"/>
    </row>
    <row r="9" customFormat="false" ht="43.5" hidden="false" customHeight="true" outlineLevel="0" collapsed="false">
      <c r="A9" s="4" t="s">
        <v>110</v>
      </c>
      <c r="B9" s="5" t="s">
        <v>3779</v>
      </c>
      <c r="C9" s="5"/>
      <c r="D9" s="5"/>
    </row>
    <row r="10" customFormat="false" ht="43.5" hidden="false" customHeight="true" outlineLevel="0" collapsed="false">
      <c r="A10" s="4" t="s">
        <v>3780</v>
      </c>
      <c r="B10" s="5" t="s">
        <v>3781</v>
      </c>
      <c r="C10" s="5"/>
      <c r="D10" s="5"/>
    </row>
    <row r="11" customFormat="false" ht="45" hidden="false" customHeight="true" outlineLevel="0" collapsed="false">
      <c r="A11" s="5" t="s">
        <v>3782</v>
      </c>
      <c r="B11" s="5" t="s">
        <v>3783</v>
      </c>
      <c r="C11" s="5"/>
      <c r="D11" s="5"/>
    </row>
    <row r="12" customFormat="false" ht="15" hidden="false" customHeight="false" outlineLevel="0" collapsed="false">
      <c r="A12" s="5"/>
      <c r="B12" s="5"/>
      <c r="C12" s="5"/>
      <c r="D12" s="5"/>
    </row>
    <row r="13" customFormat="false" ht="15" hidden="false" customHeight="false" outlineLevel="0" collapsed="false">
      <c r="A13" s="5"/>
      <c r="B13" s="5"/>
      <c r="C13" s="5"/>
      <c r="D13" s="5"/>
    </row>
    <row r="14" customFormat="false" ht="15" hidden="false" customHeight="false" outlineLevel="0" collapsed="false">
      <c r="A14" s="5"/>
      <c r="B14" s="5"/>
      <c r="C14" s="5"/>
      <c r="D14" s="5"/>
    </row>
    <row r="15" customFormat="false" ht="15" hidden="false" customHeight="false" outlineLevel="0" collapsed="false">
      <c r="A15" s="5"/>
      <c r="B15" s="5"/>
      <c r="C15" s="5"/>
      <c r="D15" s="5"/>
    </row>
    <row r="16" customFormat="false" ht="15" hidden="false" customHeight="false" outlineLevel="0" collapsed="false">
      <c r="A16" s="5"/>
      <c r="B16" s="5"/>
      <c r="C16" s="5"/>
      <c r="D16" s="5"/>
    </row>
    <row r="17" customFormat="false" ht="15" hidden="false" customHeight="false" outlineLevel="0" collapsed="false">
      <c r="A17" s="5"/>
      <c r="B17" s="5"/>
      <c r="C17" s="5"/>
      <c r="D17" s="5"/>
    </row>
    <row r="18" customFormat="false" ht="15" hidden="false" customHeight="false" outlineLevel="0" collapsed="false">
      <c r="A18" s="5"/>
      <c r="B18" s="5"/>
      <c r="C18" s="5"/>
      <c r="D18" s="5"/>
    </row>
    <row r="19" customFormat="false" ht="15" hidden="false" customHeight="false" outlineLevel="0" collapsed="false">
      <c r="A19" s="5"/>
      <c r="B19" s="5"/>
      <c r="C19" s="5"/>
      <c r="D19" s="5"/>
    </row>
    <row r="20" customFormat="false" ht="15" hidden="false" customHeight="false" outlineLevel="0" collapsed="false">
      <c r="A20" s="5"/>
      <c r="B20" s="5"/>
      <c r="C20" s="5"/>
      <c r="D20" s="5"/>
    </row>
    <row r="21" customFormat="false" ht="15" hidden="false" customHeight="false" outlineLevel="0" collapsed="false">
      <c r="A21" s="5"/>
      <c r="B21" s="5"/>
      <c r="C21" s="5"/>
      <c r="D21" s="5"/>
    </row>
    <row r="22" customFormat="false" ht="15" hidden="false" customHeight="false" outlineLevel="0" collapsed="false">
      <c r="A22" s="5"/>
      <c r="B22" s="5"/>
      <c r="C22" s="5"/>
      <c r="D22" s="5"/>
    </row>
    <row r="23" customFormat="false" ht="15" hidden="false" customHeight="false" outlineLevel="0" collapsed="false">
      <c r="A23" s="5"/>
      <c r="B23" s="5"/>
      <c r="C23" s="5"/>
      <c r="D23" s="5"/>
    </row>
    <row r="24" customFormat="false" ht="15" hidden="false" customHeight="false" outlineLevel="0" collapsed="false">
      <c r="A24" s="5"/>
      <c r="B24" s="5"/>
      <c r="C24" s="5"/>
      <c r="D24" s="5"/>
    </row>
    <row r="25" customFormat="false" ht="15" hidden="false" customHeight="false" outlineLevel="0" collapsed="false">
      <c r="A25" s="5"/>
      <c r="B25" s="5"/>
      <c r="C25" s="5"/>
      <c r="D25" s="5"/>
    </row>
    <row r="26" customFormat="false" ht="15" hidden="false" customHeight="false" outlineLevel="0" collapsed="false">
      <c r="A26" s="5"/>
      <c r="B26" s="5"/>
      <c r="C26" s="5"/>
      <c r="D26" s="5"/>
    </row>
    <row r="27" customFormat="false" ht="15" hidden="false" customHeight="false" outlineLevel="0" collapsed="false">
      <c r="A27" s="5"/>
      <c r="B27" s="5"/>
      <c r="C27" s="5"/>
      <c r="D27" s="5"/>
    </row>
    <row r="28" customFormat="false" ht="15" hidden="false" customHeight="false" outlineLevel="0" collapsed="false">
      <c r="A28" s="5"/>
      <c r="B28" s="5"/>
      <c r="C28" s="5"/>
      <c r="D28" s="5"/>
    </row>
    <row r="29" customFormat="false" ht="15" hidden="false" customHeight="false" outlineLevel="0" collapsed="false">
      <c r="A29" s="5"/>
      <c r="B29" s="5"/>
      <c r="C29" s="5"/>
      <c r="D29" s="5"/>
    </row>
    <row r="30" customFormat="false" ht="15" hidden="false" customHeight="false" outlineLevel="0" collapsed="false">
      <c r="A30" s="5"/>
      <c r="B30" s="5"/>
      <c r="C30" s="5"/>
      <c r="D30" s="5"/>
    </row>
    <row r="31" customFormat="false" ht="15" hidden="false" customHeight="false" outlineLevel="0" collapsed="false">
      <c r="A31" s="5"/>
      <c r="B31" s="5"/>
      <c r="C31" s="5"/>
      <c r="D31" s="5"/>
    </row>
    <row r="32" customFormat="false" ht="15" hidden="false" customHeight="false" outlineLevel="0" collapsed="false">
      <c r="A32" s="5"/>
      <c r="B32" s="5"/>
      <c r="C32" s="5"/>
      <c r="D32" s="5"/>
    </row>
    <row r="33" customFormat="false" ht="15" hidden="false" customHeight="false" outlineLevel="0" collapsed="false">
      <c r="A33" s="5"/>
      <c r="B33" s="5"/>
      <c r="C33" s="5"/>
      <c r="D33" s="5"/>
    </row>
    <row r="34" customFormat="false" ht="15" hidden="false" customHeight="false" outlineLevel="0" collapsed="false">
      <c r="A34" s="5"/>
      <c r="B34" s="5"/>
      <c r="C34" s="5"/>
      <c r="D34" s="5"/>
    </row>
    <row r="35" customFormat="false" ht="15" hidden="false" customHeight="false" outlineLevel="0" collapsed="false">
      <c r="A35" s="5"/>
      <c r="B35" s="5"/>
      <c r="C35" s="5"/>
      <c r="D35" s="5"/>
    </row>
    <row r="36" customFormat="false" ht="15" hidden="false" customHeight="false" outlineLevel="0" collapsed="false">
      <c r="A36" s="5"/>
      <c r="B36" s="5"/>
      <c r="C36" s="5"/>
      <c r="D36" s="5"/>
    </row>
    <row r="37" customFormat="false" ht="15" hidden="false" customHeight="false" outlineLevel="0" collapsed="false">
      <c r="A37" s="5"/>
      <c r="B37" s="5"/>
      <c r="C37" s="5"/>
      <c r="D37" s="5"/>
    </row>
    <row r="38" customFormat="false" ht="15" hidden="false" customHeight="false" outlineLevel="0" collapsed="false">
      <c r="A38" s="5"/>
      <c r="B38" s="5"/>
      <c r="C38" s="5"/>
      <c r="D38" s="5"/>
    </row>
    <row r="39" customFormat="false" ht="15" hidden="false" customHeight="false" outlineLevel="0" collapsed="false">
      <c r="A39" s="5"/>
      <c r="B39" s="5"/>
      <c r="C39" s="5"/>
      <c r="D39" s="5"/>
    </row>
    <row r="40" customFormat="false" ht="15" hidden="false" customHeight="false" outlineLevel="0" collapsed="false">
      <c r="A40" s="5"/>
      <c r="B40" s="5"/>
      <c r="C40" s="5"/>
      <c r="D40" s="5"/>
    </row>
    <row r="41" customFormat="false" ht="15" hidden="false" customHeight="false" outlineLevel="0" collapsed="false">
      <c r="A41" s="5"/>
      <c r="B41" s="5"/>
      <c r="C41" s="5"/>
      <c r="D41" s="5"/>
    </row>
    <row r="42" customFormat="false" ht="15" hidden="false" customHeight="false" outlineLevel="0" collapsed="false">
      <c r="A42" s="5"/>
      <c r="B42" s="5"/>
      <c r="C42" s="5"/>
      <c r="D42" s="5"/>
    </row>
    <row r="43" customFormat="false" ht="15" hidden="false" customHeight="false" outlineLevel="0" collapsed="false">
      <c r="A43" s="5"/>
      <c r="B43" s="5"/>
      <c r="C43" s="5"/>
      <c r="D43" s="5"/>
    </row>
    <row r="44" customFormat="false" ht="15" hidden="false" customHeight="false" outlineLevel="0" collapsed="false">
      <c r="A44" s="5"/>
      <c r="B44" s="5"/>
      <c r="C44" s="5"/>
      <c r="D44" s="5"/>
    </row>
    <row r="45" customFormat="false" ht="15" hidden="false" customHeight="false" outlineLevel="0" collapsed="false">
      <c r="A45" s="5"/>
      <c r="B45" s="5"/>
      <c r="C45" s="5"/>
      <c r="D45" s="5"/>
    </row>
    <row r="46" customFormat="false" ht="15" hidden="false" customHeight="false" outlineLevel="0" collapsed="false">
      <c r="A46" s="5"/>
      <c r="B46" s="5"/>
      <c r="C46" s="5"/>
      <c r="D46" s="5"/>
    </row>
    <row r="47" customFormat="false" ht="15" hidden="false" customHeight="false" outlineLevel="0" collapsed="false">
      <c r="A47" s="5"/>
      <c r="B47" s="5"/>
      <c r="C47" s="5"/>
      <c r="D47" s="5"/>
    </row>
    <row r="48" customFormat="false" ht="15" hidden="false" customHeight="false" outlineLevel="0" collapsed="false">
      <c r="A48" s="5"/>
      <c r="B48" s="5"/>
      <c r="C48" s="5"/>
      <c r="D48" s="5"/>
    </row>
    <row r="49" customFormat="false" ht="15" hidden="false" customHeight="false" outlineLevel="0" collapsed="false">
      <c r="A49" s="5"/>
      <c r="B49" s="5"/>
      <c r="C49" s="5"/>
      <c r="D49" s="5"/>
    </row>
    <row r="50" customFormat="false" ht="15" hidden="false" customHeight="false" outlineLevel="0" collapsed="false">
      <c r="A50" s="5"/>
      <c r="B50" s="5"/>
      <c r="C50" s="5"/>
      <c r="D50" s="5"/>
    </row>
    <row r="51" customFormat="false" ht="15" hidden="false" customHeight="false" outlineLevel="0" collapsed="false">
      <c r="A51" s="5"/>
      <c r="B51" s="5"/>
      <c r="C51" s="5"/>
      <c r="D51" s="5"/>
    </row>
    <row r="52" customFormat="false" ht="15" hidden="false" customHeight="false" outlineLevel="0" collapsed="false">
      <c r="A52" s="5"/>
      <c r="B52" s="5"/>
      <c r="C52" s="5"/>
      <c r="D52" s="5"/>
    </row>
    <row r="53" customFormat="false" ht="15" hidden="false" customHeight="false" outlineLevel="0" collapsed="false">
      <c r="A53" s="5"/>
      <c r="B53" s="5"/>
      <c r="C53" s="5"/>
      <c r="D53" s="5"/>
    </row>
    <row r="54" customFormat="false" ht="15" hidden="false" customHeight="false" outlineLevel="0" collapsed="false">
      <c r="A54" s="5"/>
      <c r="B54" s="5"/>
      <c r="C54" s="5"/>
      <c r="D54" s="5"/>
    </row>
    <row r="55" customFormat="false" ht="15" hidden="false" customHeight="false" outlineLevel="0" collapsed="false">
      <c r="A55" s="5"/>
      <c r="B55" s="5"/>
      <c r="C55" s="5"/>
      <c r="D55" s="5"/>
    </row>
    <row r="56" customFormat="false" ht="15" hidden="false" customHeight="false" outlineLevel="0" collapsed="false">
      <c r="A56" s="5"/>
      <c r="B56" s="5"/>
      <c r="C56" s="5"/>
      <c r="D56" s="5"/>
    </row>
    <row r="57" customFormat="false" ht="15" hidden="false" customHeight="false" outlineLevel="0" collapsed="false">
      <c r="A57" s="5"/>
      <c r="B57" s="5"/>
      <c r="C57" s="5"/>
      <c r="D57" s="5"/>
    </row>
    <row r="58" customFormat="false" ht="15" hidden="false" customHeight="false" outlineLevel="0" collapsed="false">
      <c r="A58" s="5"/>
      <c r="B58" s="5"/>
      <c r="C58" s="5"/>
      <c r="D58" s="5"/>
    </row>
    <row r="59" customFormat="false" ht="15" hidden="false" customHeight="false" outlineLevel="0" collapsed="false">
      <c r="A59" s="5"/>
      <c r="B59" s="5"/>
      <c r="C59" s="5"/>
      <c r="D59" s="5"/>
    </row>
    <row r="60" customFormat="false" ht="15" hidden="false" customHeight="false" outlineLevel="0" collapsed="false">
      <c r="A60" s="5"/>
      <c r="B60" s="5"/>
      <c r="C60" s="5"/>
      <c r="D60" s="5"/>
    </row>
    <row r="61" customFormat="false" ht="15" hidden="false" customHeight="false" outlineLevel="0" collapsed="false">
      <c r="A61" s="5"/>
      <c r="B61" s="5"/>
      <c r="C61" s="5"/>
      <c r="D61" s="5"/>
    </row>
    <row r="62" customFormat="false" ht="15" hidden="false" customHeight="false" outlineLevel="0" collapsed="false">
      <c r="A62" s="5"/>
      <c r="B62" s="5"/>
      <c r="C62" s="5"/>
      <c r="D62" s="5"/>
    </row>
    <row r="63" customFormat="false" ht="15" hidden="false" customHeight="false" outlineLevel="0" collapsed="false">
      <c r="A63" s="5"/>
      <c r="B63" s="5"/>
      <c r="C63" s="5"/>
      <c r="D63" s="5"/>
    </row>
    <row r="64" customFormat="false" ht="15" hidden="false" customHeight="false" outlineLevel="0" collapsed="false">
      <c r="A64" s="5"/>
      <c r="B64" s="5"/>
      <c r="C64" s="5"/>
      <c r="D64" s="5"/>
    </row>
    <row r="65" customFormat="false" ht="15" hidden="false" customHeight="false" outlineLevel="0" collapsed="false">
      <c r="A65" s="5"/>
      <c r="B65" s="5"/>
      <c r="C65" s="5"/>
      <c r="D65" s="5"/>
    </row>
    <row r="66" customFormat="false" ht="15" hidden="false" customHeight="false" outlineLevel="0" collapsed="false">
      <c r="A66" s="5"/>
      <c r="B66" s="5"/>
      <c r="C66" s="5"/>
      <c r="D66" s="5"/>
    </row>
    <row r="67" customFormat="false" ht="15" hidden="false" customHeight="false" outlineLevel="0" collapsed="false">
      <c r="A67" s="5"/>
      <c r="B67" s="5"/>
      <c r="C67" s="5"/>
      <c r="D67" s="5"/>
    </row>
    <row r="68" customFormat="false" ht="15" hidden="false" customHeight="false" outlineLevel="0" collapsed="false">
      <c r="A68" s="5"/>
      <c r="B68" s="5"/>
      <c r="C68" s="5"/>
      <c r="D68" s="5"/>
    </row>
    <row r="69" customFormat="false" ht="15" hidden="false" customHeight="false" outlineLevel="0" collapsed="false">
      <c r="A69" s="5"/>
      <c r="B69" s="5"/>
      <c r="C69" s="5"/>
      <c r="D69" s="5"/>
    </row>
    <row r="70" customFormat="false" ht="15" hidden="false" customHeight="false" outlineLevel="0" collapsed="false">
      <c r="A70" s="5"/>
      <c r="B70" s="5"/>
      <c r="C70" s="5"/>
      <c r="D70" s="5"/>
    </row>
    <row r="71" customFormat="false" ht="15" hidden="false" customHeight="false" outlineLevel="0" collapsed="false">
      <c r="A71" s="5"/>
      <c r="B71" s="5"/>
      <c r="C71" s="5"/>
      <c r="D71" s="5"/>
    </row>
    <row r="72" customFormat="false" ht="15" hidden="false" customHeight="false" outlineLevel="0" collapsed="false">
      <c r="A72" s="5"/>
      <c r="B72" s="5"/>
      <c r="C72" s="5"/>
      <c r="D72" s="5"/>
    </row>
    <row r="73" customFormat="false" ht="15" hidden="false" customHeight="false" outlineLevel="0" collapsed="false">
      <c r="A73" s="5"/>
      <c r="B73" s="5"/>
      <c r="C73" s="5"/>
      <c r="D73" s="5"/>
    </row>
    <row r="74" customFormat="false" ht="15" hidden="false" customHeight="false" outlineLevel="0" collapsed="false">
      <c r="A74" s="5"/>
      <c r="B74" s="5"/>
      <c r="C74" s="5"/>
      <c r="D74" s="5"/>
    </row>
    <row r="75" customFormat="false" ht="15" hidden="false" customHeight="false" outlineLevel="0" collapsed="false">
      <c r="A75" s="5"/>
      <c r="B75" s="5"/>
      <c r="C75" s="5"/>
      <c r="D75" s="5"/>
    </row>
    <row r="76" customFormat="false" ht="15" hidden="false" customHeight="false" outlineLevel="0" collapsed="false">
      <c r="A76" s="5"/>
      <c r="B76" s="5"/>
      <c r="C76" s="5"/>
      <c r="D76" s="5"/>
    </row>
    <row r="77" customFormat="false" ht="15" hidden="false" customHeight="false" outlineLevel="0" collapsed="false">
      <c r="A77" s="5"/>
      <c r="B77" s="5"/>
      <c r="C77" s="5"/>
      <c r="D77" s="5"/>
    </row>
    <row r="78" customFormat="false" ht="15" hidden="false" customHeight="false" outlineLevel="0" collapsed="false">
      <c r="A78" s="5"/>
      <c r="B78" s="5"/>
      <c r="C78" s="5"/>
      <c r="D78" s="5"/>
    </row>
    <row r="79" customFormat="false" ht="15" hidden="false" customHeight="false" outlineLevel="0" collapsed="false">
      <c r="A79" s="5"/>
      <c r="B79" s="5"/>
      <c r="C79" s="5"/>
      <c r="D79" s="5"/>
    </row>
    <row r="80" customFormat="false" ht="15" hidden="false" customHeight="false" outlineLevel="0" collapsed="false">
      <c r="A80" s="5"/>
      <c r="B80" s="5"/>
      <c r="C80" s="5"/>
      <c r="D80" s="5"/>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1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1" min="1" style="2" width="22"/>
    <col collapsed="false" customWidth="true" hidden="false" outlineLevel="0" max="2" min="2" style="2" width="12"/>
    <col collapsed="false" customWidth="true" hidden="false" outlineLevel="0" max="5" min="3" style="2" width="36"/>
  </cols>
  <sheetData>
    <row r="1" customFormat="false" ht="15" hidden="false" customHeight="true" outlineLevel="0" collapsed="false">
      <c r="A1" s="3" t="s">
        <v>3784</v>
      </c>
      <c r="B1" s="3"/>
      <c r="C1" s="3"/>
      <c r="D1" s="3"/>
      <c r="E1" s="3"/>
    </row>
    <row r="2" customFormat="false" ht="15" hidden="false" customHeight="true" outlineLevel="0" collapsed="false">
      <c r="A2" s="5"/>
      <c r="B2" s="5"/>
      <c r="C2" s="5"/>
      <c r="D2" s="5"/>
      <c r="E2" s="5"/>
    </row>
    <row r="3" customFormat="false" ht="15" hidden="false" customHeight="true" outlineLevel="0" collapsed="false">
      <c r="A3" s="11" t="s">
        <v>3785</v>
      </c>
      <c r="B3" s="11" t="s">
        <v>3786</v>
      </c>
      <c r="C3" s="11" t="s">
        <v>3787</v>
      </c>
      <c r="D3" s="11" t="s">
        <v>3788</v>
      </c>
      <c r="E3" s="11" t="s">
        <v>979</v>
      </c>
    </row>
    <row r="4" customFormat="false" ht="15" hidden="false" customHeight="true" outlineLevel="0" collapsed="false">
      <c r="A4" s="5" t="s">
        <v>2503</v>
      </c>
      <c r="B4" s="5" t="s">
        <v>3789</v>
      </c>
      <c r="C4" s="5" t="s">
        <v>3790</v>
      </c>
      <c r="D4" s="5" t="s">
        <v>3791</v>
      </c>
      <c r="E4" s="5" t="s">
        <v>3792</v>
      </c>
    </row>
    <row r="5" customFormat="false" ht="15" hidden="false" customHeight="true" outlineLevel="0" collapsed="false">
      <c r="A5" s="5" t="s">
        <v>2344</v>
      </c>
      <c r="B5" s="5" t="s">
        <v>3793</v>
      </c>
      <c r="C5" s="5" t="s">
        <v>3794</v>
      </c>
      <c r="D5" s="5" t="s">
        <v>3795</v>
      </c>
      <c r="E5" s="5" t="s">
        <v>3796</v>
      </c>
    </row>
    <row r="6" customFormat="false" ht="15" hidden="false" customHeight="true" outlineLevel="0" collapsed="false">
      <c r="A6" s="5" t="s">
        <v>379</v>
      </c>
      <c r="B6" s="5" t="s">
        <v>3797</v>
      </c>
      <c r="C6" s="5" t="s">
        <v>3798</v>
      </c>
      <c r="D6" s="5" t="s">
        <v>3799</v>
      </c>
      <c r="E6" s="5" t="s">
        <v>3800</v>
      </c>
    </row>
    <row r="7" customFormat="false" ht="15" hidden="false" customHeight="true" outlineLevel="0" collapsed="false">
      <c r="A7" s="5" t="s">
        <v>2513</v>
      </c>
      <c r="B7" s="5" t="s">
        <v>3801</v>
      </c>
      <c r="C7" s="5" t="s">
        <v>3802</v>
      </c>
      <c r="D7" s="5" t="s">
        <v>3803</v>
      </c>
      <c r="E7" s="5" t="s">
        <v>3804</v>
      </c>
    </row>
    <row r="8" customFormat="false" ht="15" hidden="false" customHeight="true" outlineLevel="0" collapsed="false">
      <c r="A8" s="5" t="s">
        <v>104</v>
      </c>
      <c r="B8" s="5" t="s">
        <v>3805</v>
      </c>
      <c r="C8" s="5" t="s">
        <v>3806</v>
      </c>
      <c r="D8" s="5" t="s">
        <v>3807</v>
      </c>
      <c r="E8" s="5" t="s">
        <v>3808</v>
      </c>
    </row>
    <row r="9" customFormat="false" ht="15" hidden="false" customHeight="true" outlineLevel="0" collapsed="false">
      <c r="A9" s="5" t="s">
        <v>388</v>
      </c>
      <c r="B9" s="5" t="s">
        <v>3809</v>
      </c>
      <c r="C9" s="5" t="s">
        <v>3810</v>
      </c>
      <c r="D9" s="5" t="s">
        <v>3811</v>
      </c>
      <c r="E9" s="5" t="s">
        <v>3812</v>
      </c>
    </row>
    <row r="10" customFormat="false" ht="15" hidden="false" customHeight="true" outlineLevel="0" collapsed="false">
      <c r="A10" s="5" t="s">
        <v>1854</v>
      </c>
      <c r="B10" s="5" t="s">
        <v>3813</v>
      </c>
      <c r="C10" s="5" t="s">
        <v>3814</v>
      </c>
      <c r="D10" s="5" t="s">
        <v>3815</v>
      </c>
      <c r="E10" s="5" t="s">
        <v>3816</v>
      </c>
    </row>
    <row r="11" customFormat="false" ht="15" hidden="false" customHeight="true" outlineLevel="0" collapsed="false">
      <c r="A11" s="5" t="s">
        <v>2518</v>
      </c>
      <c r="B11" s="5" t="s">
        <v>3817</v>
      </c>
      <c r="C11" s="5" t="s">
        <v>3818</v>
      </c>
      <c r="D11" s="5" t="s">
        <v>3819</v>
      </c>
      <c r="E11" s="5" t="s">
        <v>3820</v>
      </c>
    </row>
    <row r="12" customFormat="false" ht="15" hidden="false" customHeight="true" outlineLevel="0" collapsed="false">
      <c r="A12" s="5" t="s">
        <v>373</v>
      </c>
      <c r="B12" s="5" t="s">
        <v>3821</v>
      </c>
      <c r="C12" s="5" t="s">
        <v>3822</v>
      </c>
      <c r="D12" s="5" t="s">
        <v>3823</v>
      </c>
      <c r="E12" s="5" t="s">
        <v>3824</v>
      </c>
    </row>
    <row r="13" customFormat="false" ht="15" hidden="false" customHeight="true" outlineLevel="0" collapsed="false">
      <c r="A13" s="5" t="s">
        <v>548</v>
      </c>
      <c r="B13" s="5" t="s">
        <v>3825</v>
      </c>
      <c r="C13" s="5" t="s">
        <v>3826</v>
      </c>
      <c r="D13" s="5" t="s">
        <v>3827</v>
      </c>
      <c r="E13" s="5" t="s">
        <v>3828</v>
      </c>
    </row>
    <row r="14" customFormat="false" ht="24" hidden="false" customHeight="true" outlineLevel="0" collapsed="false">
      <c r="A14" s="5" t="s">
        <v>3829</v>
      </c>
      <c r="B14" s="5" t="s">
        <v>3830</v>
      </c>
      <c r="C14" s="5" t="s">
        <v>3831</v>
      </c>
      <c r="D14" s="5" t="s">
        <v>3832</v>
      </c>
      <c r="E14" s="5" t="s">
        <v>3833</v>
      </c>
    </row>
    <row r="15" customFormat="false" ht="23.85" hidden="false" customHeight="false" outlineLevel="0" collapsed="false">
      <c r="A15" s="5" t="s">
        <v>3834</v>
      </c>
      <c r="B15" s="5" t="s">
        <v>3835</v>
      </c>
      <c r="C15" s="5" t="s">
        <v>3836</v>
      </c>
      <c r="D15" s="5" t="s">
        <v>3837</v>
      </c>
      <c r="E15" s="5" t="s">
        <v>3838</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3" min="1" style="2" width="36"/>
    <col collapsed="false" customWidth="true" hidden="false" outlineLevel="0" max="4" min="4" style="2" width="31"/>
    <col collapsed="false" customWidth="true" hidden="false" outlineLevel="0" max="5" min="5" style="2" width="19"/>
    <col collapsed="false" customWidth="true" hidden="false" outlineLevel="0" max="6" min="6" style="2" width="20"/>
    <col collapsed="false" customWidth="true" hidden="false" outlineLevel="0" max="7" min="7" style="2" width="33"/>
    <col collapsed="false" customWidth="true" hidden="false" outlineLevel="0" max="8" min="8" style="2" width="31"/>
  </cols>
  <sheetData>
    <row r="1" customFormat="false" ht="28.35" hidden="false" customHeight="false" outlineLevel="0" collapsed="false">
      <c r="A1" s="3" t="s">
        <v>3839</v>
      </c>
      <c r="B1" s="3"/>
      <c r="C1" s="3"/>
      <c r="D1" s="3"/>
      <c r="E1" s="3"/>
      <c r="F1" s="3"/>
      <c r="G1" s="3"/>
      <c r="H1" s="3"/>
    </row>
    <row r="2" customFormat="false" ht="15" hidden="false" customHeight="false" outlineLevel="0" collapsed="false">
      <c r="A2" s="5" t="s">
        <v>3840</v>
      </c>
      <c r="B2" s="5" t="s">
        <v>115</v>
      </c>
      <c r="C2" s="5"/>
      <c r="D2" s="5"/>
      <c r="E2" s="5"/>
      <c r="F2" s="5"/>
      <c r="G2" s="5"/>
      <c r="H2" s="5"/>
    </row>
    <row r="3" customFormat="false" ht="68.65" hidden="false" customHeight="false" outlineLevel="0" collapsed="false">
      <c r="A3" s="5" t="s">
        <v>329</v>
      </c>
      <c r="B3" s="5" t="s">
        <v>3841</v>
      </c>
      <c r="C3" s="5"/>
      <c r="D3" s="5"/>
      <c r="E3" s="5"/>
      <c r="F3" s="5"/>
      <c r="G3" s="5"/>
      <c r="H3" s="5"/>
    </row>
    <row r="4" customFormat="false" ht="15" hidden="false" customHeight="false" outlineLevel="0" collapsed="false">
      <c r="A4" s="5"/>
      <c r="B4" s="5"/>
      <c r="C4" s="5"/>
      <c r="D4" s="5"/>
      <c r="E4" s="5"/>
      <c r="F4" s="5"/>
      <c r="G4" s="5"/>
      <c r="H4" s="5"/>
    </row>
    <row r="5" customFormat="false" ht="15" hidden="false" customHeight="false" outlineLevel="0" collapsed="false">
      <c r="A5" s="9" t="s">
        <v>3842</v>
      </c>
      <c r="B5" s="9" t="s">
        <v>3267</v>
      </c>
      <c r="C5" s="9" t="s">
        <v>3843</v>
      </c>
      <c r="D5" s="9" t="s">
        <v>3844</v>
      </c>
      <c r="E5" s="9" t="s">
        <v>3845</v>
      </c>
      <c r="F5" s="9" t="s">
        <v>3846</v>
      </c>
      <c r="G5" s="9" t="s">
        <v>979</v>
      </c>
      <c r="H5" s="9" t="s">
        <v>3847</v>
      </c>
    </row>
    <row r="6" customFormat="false" ht="23.85" hidden="false" customHeight="false" outlineLevel="0" collapsed="false">
      <c r="A6" s="5" t="s">
        <v>3848</v>
      </c>
      <c r="B6" s="5" t="s">
        <v>3849</v>
      </c>
      <c r="C6" s="5" t="s">
        <v>3850</v>
      </c>
      <c r="D6" s="5" t="s">
        <v>3851</v>
      </c>
      <c r="E6" s="5" t="s">
        <v>3852</v>
      </c>
      <c r="F6" s="5" t="s">
        <v>3852</v>
      </c>
      <c r="G6" s="5" t="s">
        <v>3853</v>
      </c>
      <c r="H6" s="5" t="s">
        <v>3854</v>
      </c>
    </row>
    <row r="7" customFormat="false" ht="15" hidden="false" customHeight="false" outlineLevel="0" collapsed="false">
      <c r="A7" s="5" t="s">
        <v>3855</v>
      </c>
      <c r="B7" s="5" t="s">
        <v>3856</v>
      </c>
      <c r="C7" s="5" t="s">
        <v>3857</v>
      </c>
      <c r="D7" s="5" t="s">
        <v>3851</v>
      </c>
      <c r="E7" s="5" t="s">
        <v>3858</v>
      </c>
      <c r="F7" s="5" t="s">
        <v>3852</v>
      </c>
      <c r="G7" s="5" t="s">
        <v>3859</v>
      </c>
      <c r="H7" s="5" t="s">
        <v>3860</v>
      </c>
    </row>
    <row r="8" customFormat="false" ht="23.85" hidden="false" customHeight="false" outlineLevel="0" collapsed="false">
      <c r="A8" s="5" t="s">
        <v>3861</v>
      </c>
      <c r="B8" s="5" t="s">
        <v>3862</v>
      </c>
      <c r="C8" s="5" t="s">
        <v>3863</v>
      </c>
      <c r="D8" s="5" t="s">
        <v>3864</v>
      </c>
      <c r="E8" s="5" t="s">
        <v>2077</v>
      </c>
      <c r="F8" s="5" t="s">
        <v>3852</v>
      </c>
      <c r="G8" s="5" t="s">
        <v>3865</v>
      </c>
      <c r="H8" s="5" t="s">
        <v>3866</v>
      </c>
    </row>
    <row r="9" customFormat="false" ht="15" hidden="false" customHeight="false" outlineLevel="0" collapsed="false">
      <c r="A9" s="5" t="s">
        <v>3867</v>
      </c>
      <c r="B9" s="5" t="s">
        <v>3868</v>
      </c>
      <c r="C9" s="5" t="s">
        <v>3869</v>
      </c>
      <c r="D9" s="5" t="s">
        <v>3870</v>
      </c>
      <c r="E9" s="5" t="s">
        <v>2077</v>
      </c>
      <c r="F9" s="5" t="s">
        <v>3871</v>
      </c>
      <c r="G9" s="5" t="s">
        <v>3872</v>
      </c>
      <c r="H9" s="5" t="s">
        <v>3873</v>
      </c>
    </row>
    <row r="10" customFormat="false" ht="23.85" hidden="false" customHeight="false" outlineLevel="0" collapsed="false">
      <c r="A10" s="5" t="s">
        <v>3874</v>
      </c>
      <c r="B10" s="5" t="s">
        <v>3875</v>
      </c>
      <c r="C10" s="5" t="s">
        <v>3876</v>
      </c>
      <c r="D10" s="5" t="s">
        <v>3877</v>
      </c>
      <c r="E10" s="5" t="s">
        <v>2077</v>
      </c>
      <c r="F10" s="5" t="s">
        <v>3852</v>
      </c>
      <c r="G10" s="5" t="s">
        <v>3878</v>
      </c>
      <c r="H10" s="5" t="s">
        <v>3879</v>
      </c>
    </row>
    <row r="11" customFormat="false" ht="23.85" hidden="false" customHeight="false" outlineLevel="0" collapsed="false">
      <c r="A11" s="5" t="s">
        <v>3880</v>
      </c>
      <c r="B11" s="5" t="s">
        <v>3881</v>
      </c>
      <c r="C11" s="5" t="s">
        <v>3882</v>
      </c>
      <c r="D11" s="5" t="s">
        <v>3883</v>
      </c>
      <c r="E11" s="5" t="s">
        <v>3858</v>
      </c>
      <c r="F11" s="5" t="s">
        <v>3858</v>
      </c>
      <c r="G11" s="5" t="s">
        <v>3884</v>
      </c>
      <c r="H11" s="5" t="s">
        <v>3885</v>
      </c>
    </row>
    <row r="12" customFormat="false" ht="15" hidden="false" customHeight="false" outlineLevel="0" collapsed="false">
      <c r="A12" s="5" t="s">
        <v>3886</v>
      </c>
      <c r="B12" s="5" t="s">
        <v>3887</v>
      </c>
      <c r="C12" s="5" t="s">
        <v>3888</v>
      </c>
      <c r="D12" s="5" t="s">
        <v>3889</v>
      </c>
      <c r="E12" s="5" t="s">
        <v>3852</v>
      </c>
      <c r="F12" s="5" t="s">
        <v>3852</v>
      </c>
      <c r="G12" s="5" t="s">
        <v>3890</v>
      </c>
      <c r="H12" s="5" t="s">
        <v>3891</v>
      </c>
    </row>
    <row r="13" customFormat="false" ht="15" hidden="false" customHeight="false" outlineLevel="0" collapsed="false">
      <c r="A13" s="5"/>
      <c r="B13" s="5"/>
      <c r="C13" s="5"/>
      <c r="D13" s="5"/>
      <c r="E13" s="5"/>
      <c r="F13" s="5"/>
      <c r="G13" s="5"/>
      <c r="H13" s="5"/>
    </row>
    <row r="14" customFormat="false" ht="15" hidden="false" customHeight="false" outlineLevel="0" collapsed="false">
      <c r="A14" s="5" t="s">
        <v>3892</v>
      </c>
      <c r="B14" s="5" t="s">
        <v>3893</v>
      </c>
      <c r="C14" s="5" t="s">
        <v>1685</v>
      </c>
      <c r="D14" s="5" t="s">
        <v>1688</v>
      </c>
      <c r="E14" s="5" t="s">
        <v>1690</v>
      </c>
      <c r="F14" s="5" t="s">
        <v>1695</v>
      </c>
      <c r="G14" s="5" t="s">
        <v>3894</v>
      </c>
      <c r="H14" s="5"/>
    </row>
    <row r="15" customFormat="false" ht="15" hidden="false" customHeight="false" outlineLevel="0" collapsed="false">
      <c r="A15" s="5" t="s">
        <v>3895</v>
      </c>
      <c r="B15" s="5" t="s">
        <v>3896</v>
      </c>
      <c r="C15" s="5" t="s">
        <v>3897</v>
      </c>
      <c r="D15" s="5" t="s">
        <v>3898</v>
      </c>
      <c r="E15" s="5" t="s">
        <v>3899</v>
      </c>
      <c r="F15" s="5" t="s">
        <v>3900</v>
      </c>
      <c r="G15" s="5" t="s">
        <v>3901</v>
      </c>
      <c r="H15" s="5"/>
    </row>
    <row r="16" customFormat="false" ht="15" hidden="false" customHeight="false" outlineLevel="0" collapsed="false">
      <c r="A16" s="5" t="s">
        <v>3902</v>
      </c>
      <c r="B16" s="5" t="s">
        <v>3896</v>
      </c>
      <c r="C16" s="5" t="s">
        <v>3897</v>
      </c>
      <c r="D16" s="5" t="s">
        <v>3898</v>
      </c>
      <c r="E16" s="5" t="s">
        <v>3899</v>
      </c>
      <c r="F16" s="5" t="s">
        <v>3900</v>
      </c>
      <c r="G16" s="5" t="s">
        <v>3901</v>
      </c>
      <c r="H16" s="5"/>
    </row>
    <row r="17" customFormat="false" ht="15" hidden="false" customHeight="false" outlineLevel="0" collapsed="false">
      <c r="A17" s="5" t="s">
        <v>3903</v>
      </c>
      <c r="B17" s="5" t="s">
        <v>3896</v>
      </c>
      <c r="C17" s="5" t="s">
        <v>3897</v>
      </c>
      <c r="D17" s="5" t="s">
        <v>3898</v>
      </c>
      <c r="E17" s="5" t="s">
        <v>3899</v>
      </c>
      <c r="F17" s="5" t="s">
        <v>3900</v>
      </c>
      <c r="G17" s="5" t="s">
        <v>3901</v>
      </c>
      <c r="H17" s="5"/>
    </row>
    <row r="18" customFormat="false" ht="15" hidden="false" customHeight="false" outlineLevel="0" collapsed="false">
      <c r="A18" s="5" t="s">
        <v>3904</v>
      </c>
      <c r="B18" s="5" t="s">
        <v>3896</v>
      </c>
      <c r="C18" s="5" t="s">
        <v>3897</v>
      </c>
      <c r="D18" s="5" t="s">
        <v>3898</v>
      </c>
      <c r="E18" s="5" t="s">
        <v>3899</v>
      </c>
      <c r="F18" s="5" t="s">
        <v>3900</v>
      </c>
      <c r="G18" s="5" t="s">
        <v>3901</v>
      </c>
      <c r="H18" s="5"/>
    </row>
    <row r="19" customFormat="false" ht="15" hidden="false" customHeight="false" outlineLevel="0" collapsed="false">
      <c r="A19" s="5" t="s">
        <v>3905</v>
      </c>
      <c r="B19" s="5" t="s">
        <v>3906</v>
      </c>
      <c r="C19" s="5" t="s">
        <v>3907</v>
      </c>
      <c r="D19" s="5" t="s">
        <v>3898</v>
      </c>
      <c r="E19" s="5" t="s">
        <v>3899</v>
      </c>
      <c r="F19" s="5" t="s">
        <v>3900</v>
      </c>
      <c r="G19" s="5" t="s">
        <v>3901</v>
      </c>
      <c r="H19" s="5"/>
    </row>
    <row r="20" customFormat="false" ht="15" hidden="false" customHeight="false" outlineLevel="0" collapsed="false">
      <c r="A20" s="5"/>
      <c r="B20" s="5"/>
      <c r="C20" s="5"/>
      <c r="D20" s="5"/>
      <c r="E20" s="5"/>
      <c r="F20" s="5"/>
      <c r="G20" s="5"/>
      <c r="H20" s="5"/>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1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2" min="1" style="2" width="36"/>
  </cols>
  <sheetData>
    <row r="1" customFormat="false" ht="28.35" hidden="false" customHeight="false" outlineLevel="0" collapsed="false">
      <c r="A1" s="3" t="s">
        <v>3908</v>
      </c>
      <c r="B1" s="3" t="s">
        <v>113</v>
      </c>
    </row>
    <row r="2" customFormat="false" ht="15" hidden="false" customHeight="false" outlineLevel="0" collapsed="false">
      <c r="A2" s="5" t="s">
        <v>603</v>
      </c>
      <c r="B2" s="5" t="s">
        <v>3909</v>
      </c>
    </row>
    <row r="3" customFormat="false" ht="15" hidden="false" customHeight="false" outlineLevel="0" collapsed="false">
      <c r="A3" s="5" t="s">
        <v>3743</v>
      </c>
      <c r="B3" s="5" t="s">
        <v>115</v>
      </c>
    </row>
    <row r="4" customFormat="false" ht="35.05" hidden="false" customHeight="false" outlineLevel="0" collapsed="false">
      <c r="A4" s="5" t="s">
        <v>117</v>
      </c>
      <c r="B4" s="5" t="s">
        <v>3910</v>
      </c>
    </row>
    <row r="5" customFormat="false" ht="15" hidden="false" customHeight="false" outlineLevel="0" collapsed="false">
      <c r="A5" s="5" t="s">
        <v>3911</v>
      </c>
      <c r="B5" s="5" t="s">
        <v>3912</v>
      </c>
    </row>
    <row r="6" customFormat="false" ht="46.25" hidden="false" customHeight="false" outlineLevel="0" collapsed="false">
      <c r="A6" s="5" t="s">
        <v>3913</v>
      </c>
      <c r="B6" s="5" t="s">
        <v>3914</v>
      </c>
    </row>
    <row r="7" customFormat="false" ht="35.05" hidden="false" customHeight="false" outlineLevel="0" collapsed="false">
      <c r="A7" s="5" t="s">
        <v>129</v>
      </c>
      <c r="B7" s="5" t="s">
        <v>3915</v>
      </c>
    </row>
    <row r="8" customFormat="false" ht="23.85" hidden="false" customHeight="false" outlineLevel="0" collapsed="false">
      <c r="A8" s="5" t="s">
        <v>3776</v>
      </c>
      <c r="B8" s="5" t="s">
        <v>3916</v>
      </c>
    </row>
    <row r="9" customFormat="false" ht="35.05" hidden="false" customHeight="false" outlineLevel="0" collapsed="false">
      <c r="A9" s="5" t="s">
        <v>3917</v>
      </c>
      <c r="B9" s="5" t="s">
        <v>3918</v>
      </c>
    </row>
    <row r="10" customFormat="false" ht="35.05" hidden="false" customHeight="false" outlineLevel="0" collapsed="false">
      <c r="A10" s="5" t="s">
        <v>110</v>
      </c>
      <c r="B10" s="5" t="s">
        <v>3919</v>
      </c>
    </row>
    <row r="11" customFormat="false" ht="57.45" hidden="false" customHeight="false" outlineLevel="0" collapsed="false">
      <c r="A11" s="5" t="s">
        <v>3782</v>
      </c>
      <c r="B11" s="5" t="s">
        <v>3920</v>
      </c>
    </row>
    <row r="12" customFormat="false" ht="15" hidden="false" customHeight="false" outlineLevel="0" collapsed="false">
      <c r="A12" s="5"/>
      <c r="B12" s="5"/>
    </row>
    <row r="13" customFormat="false" ht="15" hidden="false" customHeight="false" outlineLevel="0" collapsed="false">
      <c r="A13" s="5"/>
      <c r="B13" s="5"/>
    </row>
    <row r="14" customFormat="false" ht="15" hidden="false" customHeight="false" outlineLevel="0" collapsed="false">
      <c r="A14" s="5"/>
      <c r="B14" s="5"/>
    </row>
    <row r="15" customFormat="false" ht="15" hidden="false" customHeight="false" outlineLevel="0" collapsed="false">
      <c r="A15" s="5"/>
      <c r="B15" s="5"/>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1" min="1" style="2" width="20"/>
    <col collapsed="false" customWidth="true" hidden="false" outlineLevel="0" max="2" min="2" style="2" width="10"/>
    <col collapsed="false" customWidth="true" hidden="false" outlineLevel="0" max="3" min="3" style="2" width="36"/>
    <col collapsed="false" customWidth="true" hidden="false" outlineLevel="0" max="4" min="4" style="2" width="15"/>
  </cols>
  <sheetData>
    <row r="1" customFormat="false" ht="15" hidden="false" customHeight="false" outlineLevel="0" collapsed="false">
      <c r="A1" s="3" t="s">
        <v>3921</v>
      </c>
      <c r="B1" s="3" t="s">
        <v>2574</v>
      </c>
      <c r="C1" s="3" t="s">
        <v>720</v>
      </c>
      <c r="D1" s="3" t="s">
        <v>3922</v>
      </c>
    </row>
    <row r="2" customFormat="false" ht="23.85" hidden="false" customHeight="false" outlineLevel="0" collapsed="false">
      <c r="A2" s="5" t="s">
        <v>3923</v>
      </c>
      <c r="B2" s="5" t="s">
        <v>3924</v>
      </c>
      <c r="C2" s="5" t="s">
        <v>3925</v>
      </c>
      <c r="D2" s="5" t="n">
        <v>96</v>
      </c>
    </row>
    <row r="3" customFormat="false" ht="23.85" hidden="false" customHeight="false" outlineLevel="0" collapsed="false">
      <c r="A3" s="5" t="s">
        <v>711</v>
      </c>
      <c r="B3" s="5" t="s">
        <v>3926</v>
      </c>
      <c r="C3" s="5" t="s">
        <v>3927</v>
      </c>
      <c r="D3" s="5" t="n">
        <v>94</v>
      </c>
    </row>
    <row r="4" customFormat="false" ht="15" hidden="false" customHeight="false" outlineLevel="0" collapsed="false">
      <c r="A4" s="5" t="s">
        <v>3928</v>
      </c>
      <c r="B4" s="5" t="s">
        <v>3924</v>
      </c>
      <c r="C4" s="5" t="s">
        <v>3929</v>
      </c>
      <c r="D4" s="5" t="n">
        <v>93</v>
      </c>
    </row>
    <row r="5" customFormat="false" ht="23.85" hidden="false" customHeight="false" outlineLevel="0" collapsed="false">
      <c r="A5" s="5" t="s">
        <v>3930</v>
      </c>
      <c r="B5" s="5" t="s">
        <v>4</v>
      </c>
      <c r="C5" s="5" t="s">
        <v>3931</v>
      </c>
      <c r="D5" s="5" t="n">
        <v>92</v>
      </c>
    </row>
    <row r="6" customFormat="false" ht="23.85" hidden="false" customHeight="false" outlineLevel="0" collapsed="false">
      <c r="A6" s="5" t="s">
        <v>3932</v>
      </c>
      <c r="B6" s="5" t="s">
        <v>3933</v>
      </c>
      <c r="C6" s="5" t="s">
        <v>3934</v>
      </c>
      <c r="D6" s="5" t="n">
        <v>95</v>
      </c>
    </row>
    <row r="7" customFormat="false" ht="15" hidden="false" customHeight="false" outlineLevel="0" collapsed="false">
      <c r="A7" s="5" t="s">
        <v>3935</v>
      </c>
      <c r="B7" s="5" t="s">
        <v>3936</v>
      </c>
      <c r="C7" s="5" t="s">
        <v>3937</v>
      </c>
      <c r="D7" s="5" t="n">
        <v>95</v>
      </c>
    </row>
    <row r="8" customFormat="false" ht="15" hidden="false" customHeight="false" outlineLevel="0" collapsed="false">
      <c r="A8" s="5" t="s">
        <v>3938</v>
      </c>
      <c r="B8" s="5" t="s">
        <v>42</v>
      </c>
      <c r="C8" s="5" t="s">
        <v>3939</v>
      </c>
      <c r="D8" s="5" t="n">
        <v>93</v>
      </c>
    </row>
    <row r="9" customFormat="false" ht="15" hidden="false" customHeight="false" outlineLevel="0" collapsed="false">
      <c r="A9" s="5" t="s">
        <v>3940</v>
      </c>
      <c r="B9" s="5" t="s">
        <v>4</v>
      </c>
      <c r="C9" s="5" t="s">
        <v>3941</v>
      </c>
      <c r="D9" s="5" t="n">
        <v>91</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LibreOffice/25.2.3.2$Linux_X86_64 LibreOffice_project/520$Build-2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2026-07-01T11:14:52Z</dcterms:created>
  <dc:creator>openpyxl</dc:creator>
  <dc:description/>
  <dc:language>en-US</dc:language>
  <cp:lastModifiedBy/>
  <dcterms:modified xsi:type="dcterms:W3CDTF">2026-07-01T11:14:53Z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