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e0fe81016154ae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lease_Notes" sheetId="1" r:id="R855723c569c24809"/>
    <x:sheet xmlns:r="http://schemas.openxmlformats.org/officeDocument/2006/relationships" name="CANON" sheetId="2" r:id="R128a7b2ffebe4190"/>
    <x:sheet xmlns:r="http://schemas.openxmlformats.org/officeDocument/2006/relationships" name="Sanity_Checklist" sheetId="3" r:id="Re362d244fd204a1d"/>
    <x:sheet xmlns:r="http://schemas.openxmlformats.org/officeDocument/2006/relationships" name="Config" sheetId="4" r:id="R1571e18a7d7f4302"/>
    <x:sheet xmlns:r="http://schemas.openxmlformats.org/officeDocument/2006/relationships" name="Parameters" sheetId="5" r:id="R7b4de99e0cfe4b12"/>
    <x:sheet xmlns:r="http://schemas.openxmlformats.org/officeDocument/2006/relationships" name="PLSS_Local_Scope" sheetId="6" r:id="R007f025503e34d54"/>
    <x:sheet xmlns:r="http://schemas.openxmlformats.org/officeDocument/2006/relationships" name="Rights_Coverage" sheetId="7" r:id="Rf23a6812cad2440a"/>
    <x:sheet xmlns:r="http://schemas.openxmlformats.org/officeDocument/2006/relationships" name="Rights_Coverage_View" sheetId="8" r:id="R2c3638596deb4781"/>
    <x:sheet xmlns:r="http://schemas.openxmlformats.org/officeDocument/2006/relationships" name="C_cat" sheetId="9" r:id="Rc043c1a6fb1a4bac"/>
    <x:sheet xmlns:r="http://schemas.openxmlformats.org/officeDocument/2006/relationships" name="WTSL_Categories" sheetId="10" r:id="Ra39feae8d35048c9"/>
    <x:sheet xmlns:r="http://schemas.openxmlformats.org/officeDocument/2006/relationships" name="Impact_Input" sheetId="11" r:id="R84f3906288a14b74"/>
    <x:sheet xmlns:r="http://schemas.openxmlformats.org/officeDocument/2006/relationships" name="Scenario_Impacts" sheetId="12" r:id="R8f8b37567fac4ad1"/>
    <x:sheet xmlns:r="http://schemas.openxmlformats.org/officeDocument/2006/relationships" name="I_prop" sheetId="13" r:id="R754994d1c7fa41e9"/>
    <x:sheet xmlns:r="http://schemas.openxmlformats.org/officeDocument/2006/relationships" name="NCRC" sheetId="14" r:id="R0a5002f31f4c4fb2"/>
    <x:sheet xmlns:r="http://schemas.openxmlformats.org/officeDocument/2006/relationships" name="TRC" sheetId="15" r:id="R1e4d30bacfe54a19"/>
    <x:sheet xmlns:r="http://schemas.openxmlformats.org/officeDocument/2006/relationships" name="Containment" sheetId="16" r:id="Rbf508f429bf244ff"/>
    <x:sheet xmlns:r="http://schemas.openxmlformats.org/officeDocument/2006/relationships" name="RLS" sheetId="17" r:id="R837f882bb21649f6"/>
    <x:sheet xmlns:r="http://schemas.openxmlformats.org/officeDocument/2006/relationships" name="UCI_HOI" sheetId="18" r:id="R2be4386115f947bc"/>
    <x:sheet xmlns:r="http://schemas.openxmlformats.org/officeDocument/2006/relationships" name="Dashboard" sheetId="19" r:id="Rf271f59a54fe4be0"/>
    <x:sheet xmlns:r="http://schemas.openxmlformats.org/officeDocument/2006/relationships" name="Audit_Flags" sheetId="20" r:id="R5a46f978168a4a54"/>
    <x:sheet xmlns:r="http://schemas.openxmlformats.org/officeDocument/2006/relationships" name="PCC" sheetId="21" r:id="R31d17f83a588411f"/>
    <x:sheet xmlns:r="http://schemas.openxmlformats.org/officeDocument/2006/relationships" name="Sensitivity_Analysis" sheetId="22" r:id="R0085da9d519943a4"/>
    <x:sheet xmlns:r="http://schemas.openxmlformats.org/officeDocument/2006/relationships" name="Subgroup_Analysis" sheetId="23" r:id="Rfaacc9a34d834ff5"/>
    <x:sheet xmlns:r="http://schemas.openxmlformats.org/officeDocument/2006/relationships" name="Subgroup_Overrides" sheetId="24" r:id="R409fb225b7364985"/>
    <x:sheet xmlns:r="http://schemas.openxmlformats.org/officeDocument/2006/relationships" name="SGP_Input" sheetId="25" r:id="Rbec239ec33554027"/>
    <x:sheet xmlns:r="http://schemas.openxmlformats.org/officeDocument/2006/relationships" name="SGP_Integration" sheetId="26" r:id="R832d1109afb64f7e"/>
    <x:sheet xmlns:r="http://schemas.openxmlformats.org/officeDocument/2006/relationships" name="User_Guide" sheetId="27" r:id="R469f2e90142c4015"/>
    <x:sheet xmlns:r="http://schemas.openxmlformats.org/officeDocument/2006/relationships" name="Version_Control" sheetId="28" r:id="Rbcc31fd4246e4f96"/>
  </x:sheets>
  <x:definedNames>
    <x:definedName name="AUDIT_REVIEW_COUNT" hidden="0" function="0" vbProcedure="0">Audit_Flags!$B$23</x:definedName>
    <x:definedName name="CANON_CLAIMABLE_RUN" hidden="0" function="0" vbProcedure="0">CANON!$B$81</x:definedName>
    <x:definedName name="CANON_INVALID_FLAGS_COUNT" hidden="0" function="0" vbProcedure="0">CANON!$B$80</x:definedName>
    <x:definedName name="CANON_PLACEHOLDER_COUNT" hidden="0" function="0" vbProcedure="0">CANON!$B$117</x:definedName>
    <x:definedName name="CANON_PUBLISH_READY" hidden="0" function="0" vbProcedure="0">CANON!$B$83</x:definedName>
    <x:definedName name="CANON_SCHEMA_FAIL_COUNT" hidden="0" function="0" vbProcedure="0">CANON!$B$116</x:definedName>
    <x:definedName name="SIGMA_EST" hidden="0" function="0" vbProcedure="0">Config!$B$20</x:definedName>
  </x:definedNames>
</x:workbook>
</file>

<file path=xl/sharedStrings.xml><?xml version="1.0" encoding="utf-8"?>
<x:sst xmlns:x="http://schemas.openxmlformats.org/spreadsheetml/2006/main">
  <x:si>
    <x:t xml:space="preserve">RELEASE NOTES + KNOWN REVIEW FLAGS (AUTO-PULLED)</x:t>
  </x:si>
  <x:si>
    <x:t xml:space="preserve">Sheet version</x:t>
  </x:si>
  <x:si>
    <x:t xml:space="preserve">Framework version</x:t>
  </x:si>
  <x:si>
    <x:t xml:space="preserve">Tier</x:t>
  </x:si>
  <x:si>
    <x:t xml:space="preserve">Workbook mode</x:t>
  </x:si>
  <x:si>
    <x:t xml:space="preserve">Claimable run</x:t>
  </x:si>
  <x:si>
    <x:t xml:space="preserve">Publish ready</x:t>
  </x:si>
  <x:si>
    <x:t xml:space="preserve">Active flags (auto)</x:t>
  </x:si>
  <x:si>
    <x:t xml:space="preserve">Counts (INVALID / ESCALATE / REVIEW / TOTAL)</x:t>
  </x:si>
  <x:si>
    <x:t xml:space="preserve">Release positioning</x:t>
  </x:si>
  <x:si>
    <x:t xml:space="preserve">Tier-2 worked-run exemplar aligned to RippleLogic v9.0 and SGP v4.3. Hardening improvements now surface scenario-probability provenance, PLSS prominence reason codes, and per-instance e_k governance/provenance fields; non-decisive RLS judgment-call labeling remains live and the workbook continues to disclose its two-option comparison surface. REVIEW flags may exist and must be documented; INVALID and ESCALATE must be zero for claimability.</x:t>
  </x:si>
  <x:si>
    <x:t xml:space="preserve">Current limitation (publication disclosure)</x:t>
  </x:si>
  <x:si>
    <x:t xml:space="preserve">This workbook is a current worked-run exemplar companion, not a full repository-level conformance-complete capture surface. It implements a two-option comparison surface (Option A vs Option B) for Dashboard, NCRC, TRC, Containment, and final selection logic. Additional options or fully packaged schemas/validators remain repository-level artifacts.</x:t>
  </x:si>
  <x:si>
    <x:t xml:space="preserve">Known REVIEW flags narrative (auto)</x:t>
  </x:si>
  <x:si>
    <x:t xml:space="preserve">Sensitivity status</x:t>
  </x:si>
  <x:si>
    <x:t xml:space="preserve">Sensitivity verdict</x:t>
  </x:si>
  <x:si>
    <x:t xml:space="preserve">Change log (edit this row for each release)</x:t>
  </x:si>
  <x:si>
    <x:t xml:space="preserve">Date</x:t>
  </x:si>
  <x:si>
    <x:t xml:space="preserve">Change summary</x:t>
  </x:si>
  <x:si>
    <x:t xml:space="preserve">Final freeze-candidate sync: repaired claimability/publication summary surfaces, extended active-flag summaries to the full v2.3 flag set, fixed PCC e_k materiality detection, and synchronized visible e_k bounds to the canon-governed interval.</x:t>
  </x:si>
  <x:si>
    <x:t xml:space="preserve">CANONICAL SINGLE SOURCE OF TRUTH</x:t>
  </x:si>
  <x:si>
    <x:t xml:space="preserve">All other tabs must reference this sheet - no duplicate calculations</x:t>
  </x:si>
  <x:si>
    <x:t xml:space="preserve">SECTION A: VERSION &amp; IDENTITY</x:t>
  </x:si>
  <x:si>
    <x:t xml:space="preserve">FRAMEWORK_VERSION</x:t>
  </x:si>
  <x:si>
    <x:t xml:space="preserve">RippleLogic v9.0</x:t>
  </x:si>
  <x:si>
    <x:t xml:space="preserve">SGP_VERSION</x:t>
  </x:si>
  <x:si>
    <x:t xml:space="preserve">SGP v4.3</x:t>
  </x:si>
  <x:si>
    <x:t xml:space="preserve">SHEET_VERSION</x:t>
  </x:si>
  <x:si>
    <x:t xml:space="preserve">v2.3</x:t>
  </x:si>
  <x:si>
    <x:t xml:space="preserve">SECTION B: CONFIGURATION</x:t>
  </x:si>
  <x:si>
    <x:t xml:space="preserve">TIER</x:t>
  </x:si>
  <x:si>
    <x:t xml:space="preserve">(1-3 only; Tier 4 prohibited for claims per v9.0)</x:t>
  </x:si>
  <x:si>
    <x:t xml:space="preserve">CONTEXT</x:t>
  </x:si>
  <x:si>
    <x:t xml:space="preserve">ORG</x:t>
  </x:si>
  <x:si>
    <x:t xml:space="preserve">(PERS/ORG/REV/IRREV/XRISK)</x:t>
  </x:si>
  <x:si>
    <x:t xml:space="preserve">AI_DEPLOYMENT</x:t>
  </x:si>
  <x:si>
    <x:t xml:space="preserve">NO</x:t>
  </x:si>
  <x:si>
    <x:t xml:space="preserve">(YES/NO; affects mandatory tails)</x:t>
  </x:si>
  <x:si>
    <x:t xml:space="preserve">TRC_ACTIVE</x:t>
  </x:si>
  <x:si>
    <x:t xml:space="preserve">(TRUE if Tier&gt;=2)</x:t>
  </x:si>
  <x:si>
    <x:t xml:space="preserve">SIGMA_ALLOWED</x:t>
  </x:si>
  <x:si>
    <x:t xml:space="preserve">(Tier 2+: allowed)</x:t>
  </x:si>
  <x:si>
    <x:t xml:space="preserve">SIGMA_REQUIRED</x:t>
  </x:si>
  <x:si>
    <x:t xml:space="preserve">(Tier 3+: required)</x:t>
  </x:si>
  <x:si>
    <x:t xml:space="preserve">SECTION C: CANONICAL PARAMETERS</x:t>
  </x:si>
  <x:si>
    <x:t xml:space="preserve">alpha (CVaR confidence)</x:t>
  </x:si>
  <x:si>
    <x:t xml:space="preserve">beta (tail mass)</x:t>
  </x:si>
  <x:si>
    <x:t xml:space="preserve">beta_saturation</x:t>
  </x:si>
  <x:si>
    <x:t xml:space="preserve">beta_prop</x:t>
  </x:si>
  <x:si>
    <x:t xml:space="preserve">delta (discrimination)</x:t>
  </x:si>
  <x:si>
    <x:t xml:space="preserve">theta_pos (containment)</x:t>
  </x:si>
  <x:si>
    <x:t xml:space="preserve">tau_c (containment floor)</x:t>
  </x:si>
  <x:si>
    <x:t xml:space="preserve">T_ref (time reference)</x:t>
  </x:si>
  <x:si>
    <x:t xml:space="preserve">sigma_est (RLS uncertainty)</x:t>
  </x:si>
  <x:si>
    <x:t xml:space="preserve">t_min (temporal floor)</x:t>
  </x:si>
  <x:si>
    <x:t xml:space="preserve">(canonical in v9.0: prevents near-zero collapse; τ(t_min) ≈ 0.025)</x:t>
  </x:si>
  <x:si>
    <x:t xml:space="preserve">SECTION D: RIGHTS THRESHOLDS (θ_r)</x:t>
  </x:si>
  <x:si>
    <x:t xml:space="preserve">Right</x:t>
  </x:si>
  <x:si>
    <x:t xml:space="preserve">Priority</x:t>
  </x:si>
  <x:si>
    <x:t xml:space="preserve">θ_r</x:t>
  </x:si>
  <x:si>
    <x:t xml:space="preserve">LIFE</x:t>
  </x:si>
  <x:si>
    <x:t xml:space="preserve">BODY</x:t>
  </x:si>
  <x:si>
    <x:t xml:space="preserve">ECOL</x:t>
  </x:si>
  <x:si>
    <x:t xml:space="preserve">LBTY</x:t>
  </x:si>
  <x:si>
    <x:t xml:space="preserve">NEED</x:t>
  </x:si>
  <x:si>
    <x:t xml:space="preserve">DIGN</x:t>
  </x:si>
  <x:si>
    <x:t xml:space="preserve">PROC</x:t>
  </x:si>
  <x:si>
    <x:t xml:space="preserve">INFO</x:t>
  </x:si>
  <x:si>
    <x:t xml:space="preserve">RIGHTS_COUNT</x:t>
  </x:si>
  <x:si>
    <x:t xml:space="preserve">(must = 8)</x:t>
  </x:si>
  <x:si>
    <x:t xml:space="preserve">SECTION E: MANDATORY TAILS</x:t>
  </x:si>
  <x:si>
    <x:t xml:space="preserve">MANDATORY_TAILS_COUNT</x:t>
  </x:si>
  <x:si>
    <x:t xml:space="preserve">(6 if AI_DEPLOYMENT=YES, else 5)</x:t>
  </x:si>
  <x:si>
    <x:t xml:space="preserve">WTSL Categories</x:t>
  </x:si>
  <x:si>
    <x:t xml:space="preserve">Required?</x:t>
  </x:si>
  <x:si>
    <x:t xml:space="preserve">WTSL-PAN</x:t>
  </x:si>
  <x:si>
    <x:t xml:space="preserve">YES</x:t>
  </x:si>
  <x:si>
    <x:t xml:space="preserve">WTSL-CLI</x:t>
  </x:si>
  <x:si>
    <x:t xml:space="preserve">WTSL-FIN</x:t>
  </x:si>
  <x:si>
    <x:t xml:space="preserve">WTSL-CON</x:t>
  </x:si>
  <x:si>
    <x:t xml:space="preserve">WTSL-INF</x:t>
  </x:si>
  <x:si>
    <x:t xml:space="preserve">WTSL-AIX</x:t>
  </x:si>
  <x:si>
    <x:t xml:space="preserve">SECTION F: CANONICAL GATE RESULTS</x:t>
  </x:si>
  <x:si>
    <x:t xml:space="preserve">NCRC_PASS_A</x:t>
  </x:si>
  <x:si>
    <x:t xml:space="preserve">NCRC_PASS_B</x:t>
  </x:si>
  <x:si>
    <x:t xml:space="preserve">CVaR_A</x:t>
  </x:si>
  <x:si>
    <x:t xml:space="preserve">CVaR_B</x:t>
  </x:si>
  <x:si>
    <x:t xml:space="preserve">TRC_PASS_A</x:t>
  </x:si>
  <x:si>
    <x:t xml:space="preserve">TRC_PASS_B</x:t>
  </x:si>
  <x:si>
    <x:t xml:space="preserve">tau_TRC</x:t>
  </x:si>
  <x:si>
    <x:t xml:space="preserve">(context-specific threshold)</x:t>
  </x:si>
  <x:si>
    <x:t xml:space="preserve">RLS_DECISIVE</x:t>
  </x:si>
  <x:si>
    <x:t xml:space="preserve">CONTAINMENT_PASS_A</x:t>
  </x:si>
  <x:si>
    <x:t xml:space="preserve">CONTAINMENT_PASS_B</x:t>
  </x:si>
  <x:si>
    <x:t xml:space="preserve">RLS_A</x:t>
  </x:si>
  <x:si>
    <x:t xml:space="preserve">RLS_B</x:t>
  </x:si>
  <x:si>
    <x:t xml:space="preserve">SECTION G: SELECTION LOGIC</x:t>
  </x:si>
  <x:si>
    <x:t xml:space="preserve">A_NCRC_COUNT</x:t>
  </x:si>
  <x:si>
    <x:t xml:space="preserve">(Options passing NCRC)</x:t>
  </x:si>
  <x:si>
    <x:t xml:space="preserve">A_ADM_COUNT</x:t>
  </x:si>
  <x:si>
    <x:t xml:space="preserve">(Options passing NCRC+TRC)</x:t>
  </x:si>
  <x:si>
    <x:t xml:space="preserve">SELECTION_MODE</x:t>
  </x:si>
  <x:si>
    <x:t xml:space="preserve">SELECTED_OPTION</x:t>
  </x:si>
  <x:si>
    <x:t xml:space="preserve">SELECTION_BASIS</x:t>
  </x:si>
  <x:si>
    <x:t xml:space="preserve">ESCALATION_REQUIRED</x:t>
  </x:si>
  <x:si>
    <x:t xml:space="preserve">SECTION H: CATASTROPHE INPUT VALIDATION</x:t>
  </x:si>
  <x:si>
    <x:t xml:space="preserve">CCAT_BLANK_COUNT</x:t>
  </x:si>
  <x:si>
    <x:t xml:space="preserve">(Must be 0 when TRC active)</x:t>
  </x:si>
  <x:si>
    <x:t xml:space="preserve">SCENARIO_IMPACT_MISSING</x:t>
  </x:si>
  <x:si>
    <x:t xml:space="preserve">SECTION I: CLAIMABILITY</x:t>
  </x:si>
  <x:si>
    <x:t xml:space="preserve">INVALID_FLAGS_COUNT</x:t>
  </x:si>
  <x:si>
    <x:t xml:space="preserve">(computed from Audit_Flags)</x:t>
  </x:si>
  <x:si>
    <x:t xml:space="preserve">CLAIMABLE_RUN</x:t>
  </x:si>
  <x:si>
    <x:t xml:space="preserve">WORKBOOK_MODE</x:t>
  </x:si>
  <x:si>
    <x:t xml:space="preserve">WORKED_RUN</x:t>
  </x:si>
  <x:si>
    <x:t xml:space="preserve">(TEMPLATE or WORKED_RUN)</x:t>
  </x:si>
  <x:si>
    <x:t xml:space="preserve">PUBLISH_READY_SUMMARY</x:t>
  </x:si>
  <x:si>
    <x:t xml:space="preserve">(summary alias to master publish gate at B118)</x:t>
  </x:si>
  <x:si>
    <x:t xml:space="preserve">SECTION J: SCHEMA ENFORCEMENT</x:t>
  </x:si>
  <x:si>
    <x:t xml:space="preserve">Validation Rule: ISNUMBER(x) AND NOT(ISLOGICAL(x)) for all numeric fields</x:t>
  </x:si>
  <x:si>
    <x:t xml:space="preserve">Field</x:t>
  </x:si>
  <x:si>
    <x:t xml:space="preserve">Value</x:t>
  </x:si>
  <x:si>
    <x:t xml:space="preserve">Expected Type</x:t>
  </x:si>
  <x:si>
    <x:t xml:space="preserve">Status</x:t>
  </x:si>
  <x:si>
    <x:t xml:space="preserve">integer 1-3</x:t>
  </x:si>
  <x:si>
    <x:t xml:space="preserve">alpha</x:t>
  </x:si>
  <x:si>
    <x:t xml:space="preserve">decimal 0-1</x:t>
  </x:si>
  <x:si>
    <x:t xml:space="preserve">beta</x:t>
  </x:si>
  <x:si>
    <x:t xml:space="preserve">positive integer</x:t>
  </x:si>
  <x:si>
    <x:t xml:space="preserve">binary 0/1</x:t>
  </x:si>
  <x:si>
    <x:t xml:space="preserve">delta</x:t>
  </x:si>
  <x:si>
    <x:t xml:space="preserve">positive number</x:t>
  </x:si>
  <x:si>
    <x:t xml:space="preserve">theta_pos</x:t>
  </x:si>
  <x:si>
    <x:t xml:space="preserve">tau_c</x:t>
  </x:si>
  <x:si>
    <x:t xml:space="preserve">negative number</x:t>
  </x:si>
  <x:si>
    <x:t xml:space="preserve">T_ref</x:t>
  </x:si>
  <x:si>
    <x:t xml:space="preserve">sigma_est</x:t>
  </x:si>
  <x:si>
    <x:t xml:space="preserve">decimal &gt;=0</x:t>
  </x:si>
  <x:si>
    <x:t xml:space="preserve">integer = 8</x:t>
  </x:si>
  <x:si>
    <x:t xml:space="preserve">Note: MANDATORY_TAILS_COUNT canonical location is B41</x:t>
  </x:si>
  <x:si>
    <x:t xml:space="preserve">integer 5-6</x:t>
  </x:si>
  <x:si>
    <x:t xml:space="preserve">decimal</x:t>
  </x:si>
  <x:si>
    <x:t xml:space="preserve">nonneg integer</x:t>
  </x:si>
  <x:si>
    <x:t xml:space="preserve">INVALID_FLAGS</x:t>
  </x:si>
  <x:si>
    <x:t xml:space="preserve">SCHEMA ROLLUP</x:t>
  </x:si>
  <x:si>
    <x:t xml:space="preserve">PUBLISH GATES (computed)</x:t>
  </x:si>
  <x:si>
    <x:t xml:space="preserve">must be 0</x:t>
  </x:si>
  <x:si>
    <x:t xml:space="preserve">SCHEMA_FAIL_COUNT</x:t>
  </x:si>
  <x:si>
    <x:t xml:space="preserve">(must be 0)</x:t>
  </x:si>
  <x:si>
    <x:t xml:space="preserve">PLACEHOLDER_COUNT</x:t>
  </x:si>
  <x:si>
    <x:t xml:space="preserve">(scans Dashboard for [ bracket placeholders; ID brackets removed for clarity)</x:t>
  </x:si>
  <x:si>
    <x:t xml:space="preserve">PUBLISH_READY</x:t>
  </x:si>
  <x:si>
    <x:t xml:space="preserve">(master publish gate)</x:t>
  </x:si>
  <x:si>
    <x:t xml:space="preserve">sanity_fail_count:</x:t>
  </x:si>
  <x:si>
    <x:t xml:space="preserve">invalid_count:</x:t>
  </x:si>
  <x:si>
    <x:t xml:space="preserve">manual_override:</x:t>
  </x:si>
  <x:si>
    <x:t xml:space="preserve">placeholder_count:</x:t>
  </x:si>
  <x:si>
    <x:t xml:space="preserve">publish_ready_master:</x:t>
  </x:si>
  <x:si>
    <x:t xml:space="preserve">AUDIT CHECK:</x:t>
  </x:si>
  <x:si>
    <x:t xml:space="preserve">SECTION G: v9.0 REPRESENTATION LAYER</x:t>
  </x:si>
  <x:si>
    <x:t xml:space="preserve">SCI_LEVEL</x:t>
  </x:si>
  <x:si>
    <x:t xml:space="preserve">SCI-0..SCI-4; Tier 2 minimum = SCI-1</x:t>
  </x:si>
  <x:si>
    <x:t xml:space="preserve">SCI_JUSTIFICATION</x:t>
  </x:si>
  <x:si>
    <x:t xml:space="preserve">Key stakeholders identified; roles mapped to scopes; coverage documented</x:t>
  </x:si>
  <x:si>
    <x:t xml:space="preserve">SCI_NEXT_RUN_UPGRADE</x:t>
  </x:si>
  <x:si>
    <x:t xml:space="preserve">Expand to SCI-2: structured discovery protocol with evidence refs</x:t>
  </x:si>
  <x:si>
    <x:t xml:space="preserve">REQUIRED when SCI equals tier minimum</x:t>
  </x:si>
  <x:si>
    <x:t xml:space="preserve">SCOPE_COVERAGE_MODE</x:t>
  </x:si>
  <x:si>
    <x:t xml:space="preserve">FULL</x:t>
  </x:si>
  <x:si>
    <x:t xml:space="preserve">FULL or REDUCED; if REDUCED: ScopeCoverage declaration REQUIRED</x:t>
  </x:si>
  <x:si>
    <x:t xml:space="preserve">ACTIVE_SCOPES</x:t>
  </x:si>
  <x:si>
    <x:t xml:space="preserve">U1,U2,U3,U4,U5,U6,U7</x:t>
  </x:si>
  <x:si>
    <x:t xml:space="preserve">OMITTED_SCOPES</x:t>
  </x:si>
  <x:si>
    <x:t xml:space="preserve">NONE</x:t>
  </x:si>
  <x:si>
    <x:t xml:space="preserve">SDP_PERFORMED</x:t>
  </x:si>
  <x:si>
    <x:t xml:space="preserve">Stakeholder Discovery Protocol (v9.0 Section 2.2A)</x:t>
  </x:si>
  <x:si>
    <x:t xml:space="preserve">UNCERTAINTY_METHOD</x:t>
  </x:si>
  <x:si>
    <x:t xml:space="preserve">C</x:t>
  </x:si>
  <x:si>
    <x:t xml:space="preserve">Method C workbook profile; constant σ exemplar for all active cells via sigma_est (CANON!B26). Tier 2+ requires method declared; this workbook uses a degenerate calibrated profile.</x:t>
  </x:si>
  <x:si>
    <x:t xml:space="preserve">SANITY CHECKLIST - COMPUTED PASS/FAIL (v2.3)</x:t>
  </x:si>
  <x:si>
    <x:t xml:space="preserve">ALL Status cells (E6:E35) are FORMULAS comparing Expected vs Actual</x:t>
  </x:si>
  <x:si>
    <x:t xml:space="preserve">Pattern: =IF(ABS(C-D)&lt;1E-9,"PASS","FAIL") for numeric, =IF(C=D,"PASS","FAIL") for text</x:t>
  </x:si>
  <x:si>
    <x:t xml:space="preserve">Check_ID</x:t>
  </x:si>
  <x:si>
    <x:t xml:space="preserve">Check Name</x:t>
  </x:si>
  <x:si>
    <x:t xml:space="preserve">Expected</x:t>
  </x:si>
  <x:si>
    <x:t xml:space="preserve">Actual</x:t>
  </x:si>
  <x:si>
    <x:t xml:space="preserve">Source</x:t>
  </x:si>
  <x:si>
    <x:t xml:space="preserve">SC-01</x:t>
  </x:si>
  <x:si>
    <x:t xml:space="preserve">CANON!B7</x:t>
  </x:si>
  <x:si>
    <x:t xml:space="preserve">SC-02</x:t>
  </x:si>
  <x:si>
    <x:t xml:space="preserve">Config version</x:t>
  </x:si>
  <x:si>
    <x:t xml:space="preserve">Config!B2</x:t>
  </x:si>
  <x:si>
    <x:t xml:space="preserve">SC-03</x:t>
  </x:si>
  <x:si>
    <x:t xml:space="preserve">PCC version</x:t>
  </x:si>
  <x:si>
    <x:t xml:space="preserve">PCC!B11</x:t>
  </x:si>
  <x:si>
    <x:t xml:space="preserve">SC-04</x:t>
  </x:si>
  <x:si>
    <x:t xml:space="preserve">Framework (Config vs CANON)</x:t>
  </x:si>
  <x:si>
    <x:t xml:space="preserve">CANON!B5</x:t>
  </x:si>
  <x:si>
    <x:t xml:space="preserve">SC-05</x:t>
  </x:si>
  <x:si>
    <x:t xml:space="preserve">CVaR_A TRC=CANON</x:t>
  </x:si>
  <x:si>
    <x:t xml:space="preserve">TRC vs CANON</x:t>
  </x:si>
  <x:si>
    <x:t xml:space="preserve">SC-06</x:t>
  </x:si>
  <x:si>
    <x:t xml:space="preserve">CVaR_B TRC=CANON</x:t>
  </x:si>
  <x:si>
    <x:t xml:space="preserve">SC-07</x:t>
  </x:si>
  <x:si>
    <x:t xml:space="preserve">Dashboard CVaR</x:t>
  </x:si>
  <x:si>
    <x:t xml:space="preserve">Dashboard</x:t>
  </x:si>
  <x:si>
    <x:t xml:space="preserve">SC-08</x:t>
  </x:si>
  <x:si>
    <x:t xml:space="preserve">Rights count=8</x:t>
  </x:si>
  <x:si>
    <x:t xml:space="preserve">CANON!B38</x:t>
  </x:si>
  <x:si>
    <x:t xml:space="preserve">SC-09</x:t>
  </x:si>
  <x:si>
    <x:t xml:space="preserve">NCRC mins populated (A+B)</x:t>
  </x:si>
  <x:si>
    <x:t xml:space="preserve">NCRC</x:t>
  </x:si>
  <x:si>
    <x:t xml:space="preserve">SC-10</x:t>
  </x:si>
  <x:si>
    <x:t xml:space="preserve">NCRC_A status</x:t>
  </x:si>
  <x:si>
    <x:t xml:space="preserve">CANON!B51</x:t>
  </x:si>
  <x:si>
    <x:t xml:space="preserve">SC-11</x:t>
  </x:si>
  <x:si>
    <x:t xml:space="preserve">NCRC_B status</x:t>
  </x:si>
  <x:si>
    <x:t xml:space="preserve">CANON!B52</x:t>
  </x:si>
  <x:si>
    <x:t xml:space="preserve">SC-12</x:t>
  </x:si>
  <x:si>
    <x:t xml:space="preserve">θ_pos matches</x:t>
  </x:si>
  <x:si>
    <x:t xml:space="preserve">Containment</x:t>
  </x:si>
  <x:si>
    <x:t xml:space="preserve">SC-13</x:t>
  </x:si>
  <x:si>
    <x:t xml:space="preserve">τ_c matches</x:t>
  </x:si>
  <x:si>
    <x:t xml:space="preserve">SC-14</x:t>
  </x:si>
  <x:si>
    <x:t xml:space="preserve">τ_TRC TRC=CANON</x:t>
  </x:si>
  <x:si>
    <x:t xml:space="preserve">TRC!B9</x:t>
  </x:si>
  <x:si>
    <x:t xml:space="preserve">SC-15</x:t>
  </x:si>
  <x:si>
    <x:t xml:space="preserve">Mandatory tails</x:t>
  </x:si>
  <x:si>
    <x:t xml:space="preserve">WTSL</x:t>
  </x:si>
  <x:si>
    <x:t xml:space="preserve">SC-16</x:t>
  </x:si>
  <x:si>
    <x:t xml:space="preserve">Tails covered</x:t>
  </x:si>
  <x:si>
    <x:t xml:space="preserve">SC-17</x:t>
  </x:si>
  <x:si>
    <x:t xml:space="preserve">No blank C_cat</x:t>
  </x:si>
  <x:si>
    <x:t xml:space="preserve">CANON!B76</x:t>
  </x:si>
  <x:si>
    <x:t xml:space="preserve">SC-18</x:t>
  </x:si>
  <x:si>
    <x:t xml:space="preserve">Selection mode</x:t>
  </x:si>
  <x:si>
    <x:t xml:space="preserve">CANON!B70</x:t>
  </x:si>
  <x:si>
    <x:t xml:space="preserve">SC-19</x:t>
  </x:si>
  <x:si>
    <x:t xml:space="preserve">Selected option</x:t>
  </x:si>
  <x:si>
    <x:t xml:space="preserve">CANON!B71</x:t>
  </x:si>
  <x:si>
    <x:t xml:space="preserve">SC-20</x:t>
  </x:si>
  <x:si>
    <x:t xml:space="preserve">TRC outputs populated (A+B)</x:t>
  </x:si>
  <x:si>
    <x:t xml:space="preserve">CANON</x:t>
  </x:si>
  <x:si>
    <x:t xml:space="preserve">SC-21</x:t>
  </x:si>
  <x:si>
    <x:t xml:space="preserve">Emergency mode</x:t>
  </x:si>
  <x:si>
    <x:t xml:space="preserve">SC-22</x:t>
  </x:si>
  <x:si>
    <x:t xml:space="preserve">No INVALID flags</x:t>
  </x:si>
  <x:si>
    <x:t xml:space="preserve">Audit_Flags!B21</x:t>
  </x:si>
  <x:si>
    <x:t xml:space="preserve">SC-23</x:t>
  </x:si>
  <x:si>
    <x:t xml:space="preserve">Claimable status</x:t>
  </x:si>
  <x:si>
    <x:t xml:space="preserve">CANON!B81</x:t>
  </x:si>
  <x:si>
    <x:t xml:space="preserve">SC-24</x:t>
  </x:si>
  <x:si>
    <x:t xml:space="preserve">CVaR_A recompute</x:t>
  </x:si>
  <x:si>
    <x:t xml:space="preserve">D.7</x:t>
  </x:si>
  <x:si>
    <x:t xml:space="preserve">SC-25</x:t>
  </x:si>
  <x:si>
    <x:t xml:space="preserve">CVaR_B recompute</x:t>
  </x:si>
  <x:si>
    <x:t xml:space="preserve">SC-26</x:t>
  </x:si>
  <x:si>
    <x:t xml:space="preserve">Schema valid</x:t>
  </x:si>
  <x:si>
    <x:t xml:space="preserve">Schema</x:t>
  </x:si>
  <x:si>
    <x:t xml:space="preserve">SC-27</x:t>
  </x:si>
  <x:si>
    <x:t xml:space="preserve">CANON!B82</x:t>
  </x:si>
  <x:si>
    <x:t xml:space="preserve">SC-28</x:t>
  </x:si>
  <x:si>
    <x:t xml:space="preserve">No placeholders</x:t>
  </x:si>
  <x:si>
    <x:t xml:space="preserve">CANON!B116</x:t>
  </x:si>
  <x:si>
    <x:t xml:space="preserve">SC-29</x:t>
  </x:si>
  <x:si>
    <x:t xml:space="preserve">Audit consistent</x:t>
  </x:si>
  <x:si>
    <x:t xml:space="preserve">Audit</x:t>
  </x:si>
  <x:si>
    <x:t xml:space="preserve">SC-30</x:t>
  </x:si>
  <x:si>
    <x:t xml:space="preserve">Manual override</x:t>
  </x:si>
  <x:si>
    <x:t xml:space="preserve">Audit_Flags!B18</x:t>
  </x:si>
  <x:si>
    <x:t xml:space="preserve">COMPUTED SUMMARY</x:t>
  </x:si>
  <x:si>
    <x:t xml:space="preserve">Total Checks:</x:t>
  </x:si>
  <x:si>
    <x:t xml:space="preserve">PASS_COUNT:</x:t>
  </x:si>
  <x:si>
    <x:t xml:space="preserve">FAIL_COUNT:</x:t>
  </x:si>
  <x:si>
    <x:t xml:space="preserve">OVERALL:</x:t>
  </x:si>
  <x:si>
    <x:t xml:space="preserve">SC-31</x:t>
  </x:si>
  <x:si>
    <x:t xml:space="preserve">SCI ≥ Tier minimum</x:t>
  </x:si>
  <x:si>
    <x:t xml:space="preserve">CANON SCI_LEVEL</x:t>
  </x:si>
  <x:si>
    <x:t xml:space="preserve">SC-32</x:t>
  </x:si>
  <x:si>
    <x:t xml:space="preserve">ScopeCoverage mode set</x:t>
  </x:si>
  <x:si>
    <x:t xml:space="preserve">CANON SCOPE_COVERAGE_MODE</x:t>
  </x:si>
  <x:si>
    <x:t xml:space="preserve">SC-33</x:t>
  </x:si>
  <x:si>
    <x:t xml:space="preserve">Uncertainty method declared</x:t>
  </x:si>
  <x:si>
    <x:t xml:space="preserve">CANON UNCERTAINTY_METHOD</x:t>
  </x:si>
  <x:si>
    <x:t xml:space="preserve">Displays CANON UNCERTAINTY_METHOD for validator PASS/FAIL.</x:t>
  </x:si>
  <x:si>
    <x:t xml:space="preserve">SC-34</x:t>
  </x:si>
  <x:si>
    <x:t xml:space="preserve">SGP version (Config vs CANON)</x:t>
  </x:si>
  <x:si>
    <x:t xml:space="preserve">Config!B5 vs CANON!B6</x:t>
  </x:si>
  <x:si>
    <x:t xml:space="preserve">RIPPLELOGIC ALIGNERS SHEET v2.3</x:t>
  </x:si>
  <x:si>
    <x:t xml:space="preserve">VERSION</x:t>
  </x:si>
  <x:si>
    <x:t xml:space="preserve">Framework:</x:t>
  </x:si>
  <x:si>
    <x:t xml:space="preserve">SGP Version:</x:t>
  </x:si>
  <x:si>
    <x:t xml:space="preserve">Date:</x:t>
  </x:si>
  <x:si>
    <x:t xml:space="preserve">2026-03-19</x:t>
  </x:si>
  <x:si>
    <x:t xml:space="preserve">TIER &amp; CONTEXT</x:t>
  </x:si>
  <x:si>
    <x:t xml:space="preserve">Tier Level:</x:t>
  </x:si>
  <x:si>
    <x:t xml:space="preserve">1=Personal, 2=Core, 3=High-Stakes, 4=Design target (claim prohibited per v9.0)</x:t>
  </x:si>
  <x:si>
    <x:t xml:space="preserve">Context Type:</x:t>
  </x:si>
  <x:si>
    <x:t xml:space="preserve">τ_TRC for ORG:</x:t>
  </x:si>
  <x:si>
    <x:t xml:space="preserve">AI Deployment:</x:t>
  </x:si>
  <x:si>
    <x:t xml:space="preserve">(YES/NO; makes WTSL-AIX mandatory)</x:t>
  </x:si>
  <x:si>
    <x:t xml:space="preserve">PROPAGATION &amp; WEIGHTS</x:t>
  </x:si>
  <x:si>
    <x:t xml:space="preserve">Propagation Mode:</x:t>
  </x:si>
  <x:si>
    <x:t xml:space="preserve">(NONE/QUICK; worked run currently uses NONE)</x:t>
  </x:si>
  <x:si>
    <x:t xml:space="preserve">Kernel Status:</x:t>
  </x:si>
  <x:si>
    <x:t xml:space="preserve">See PLSS_Local_Scope sheet</x:t>
  </x:si>
  <x:si>
    <x:t xml:space="preserve">PLSS helper computes q_u, residual shares, and w_u^PLSS; RLS reads Parameters union weights.</x:t>
  </x:si>
  <x:si>
    <x:t xml:space="preserve">Weight Profile:</x:t>
  </x:si>
  <x:si>
    <x:t xml:space="preserve">PLSS_LOCAL</x:t>
  </x:si>
  <x:si>
    <x:t xml:space="preserve">Weight/scope profile for union weighting (PLSS_LOCAL or UNIFORM)</x:t>
  </x:si>
  <x:si>
    <x:t xml:space="preserve">Current option-surface:</x:t>
  </x:si>
  <x:si>
    <x:t xml:space="preserve">Two-option comparison only (A/B)</x:t>
  </x:si>
  <x:si>
    <x:t xml:space="preserve">Publication disclosure: native final-selection logic currently compares Option A vs Option B only.</x:t>
  </x:si>
  <x:si>
    <x:t xml:space="preserve">MODE LOCKS</x:t>
  </x:si>
  <x:si>
    <x:t xml:space="preserve">σ_est (RLS uncertainty)</x:t>
  </x:si>
  <x:si>
    <x:t xml:space="preserve">Tier 2: optional (can support Gap/σ review). Tier 3+: required for decisiveness checks. Tier 4+: prefer empirically estimated σ.</x:t>
  </x:si>
  <x:si>
    <x:t xml:space="preserve">σ_est Available:</x:t>
  </x:si>
  <x:si>
    <x:t xml:space="preserve">(YES/NO; enables Gap/σ test)</x:t>
  </x:si>
  <x:si>
    <x:t xml:space="preserve">δ (discrimination threshold):</x:t>
  </x:si>
  <x:si>
    <x:t xml:space="preserve">(Gap/σ &gt; δ for decisive)</x:t>
  </x:si>
  <x:si>
    <x:t xml:space="preserve">CANONICAL PARAMETERS (LOCKED)</x:t>
  </x:si>
  <x:si>
    <x:t xml:space="preserve">RIGHTS THRESHOLDS (θ_r) - Lexicographic Priority</x:t>
  </x:si>
  <x:si>
    <x:t xml:space="preserve">Coverage Summary</x:t>
  </x:si>
  <x:si>
    <x:t xml:space="preserve">U1-U6×D2, U6×D7</x:t>
  </x:si>
  <x:si>
    <x:t xml:space="preserve">U1-U6×D2</x:t>
  </x:si>
  <x:si>
    <x:t xml:space="preserve">U6-U7×D7</x:t>
  </x:si>
  <x:si>
    <x:t xml:space="preserve">U1–U6×D5 AND U3–U6×D3</x:t>
  </x:si>
  <x:si>
    <x:t xml:space="preserve">U1-U6×D1,D2</x:t>
  </x:si>
  <x:si>
    <x:t xml:space="preserve">U1-U6×D3,D5</x:t>
  </x:si>
  <x:si>
    <x:t xml:space="preserve">U4-U6×D3,D4,D5</x:t>
  </x:si>
  <x:si>
    <x:t xml:space="preserve">U1-U6×D4,D5</x:t>
  </x:si>
  <x:si>
    <x:t xml:space="preserve">TRC CONTEXT THRESHOLDS (τ_TRC)</x:t>
  </x:si>
  <x:si>
    <x:t xml:space="preserve">PERS</x:t>
  </x:si>
  <x:si>
    <x:t xml:space="preserve">REV</x:t>
  </x:si>
  <x:si>
    <x:t xml:space="preserve">IRREV</x:t>
  </x:si>
  <x:si>
    <x:t xml:space="preserve">XRISK</x:t>
  </x:si>
  <x:si>
    <x:t xml:space="preserve">SCORING PARAMETERS</x:t>
  </x:si>
  <x:si>
    <x:t xml:space="preserve">β (saturation)</x:t>
  </x:si>
  <x:si>
    <x:t xml:space="preserve">β_prop</x:t>
  </x:si>
  <x:si>
    <x:t xml:space="preserve">δ (discrimination)</x:t>
  </x:si>
  <x:si>
    <x:t xml:space="preserve">τ_c (containment)</x:t>
  </x:si>
  <x:si>
    <x:t xml:space="preserve">θ_pos</x:t>
  </x:si>
  <x:si>
    <x:t xml:space="preserve">α (CVaR)</x:t>
  </x:si>
  <x:si>
    <x:t xml:space="preserve">p_floor</x:t>
  </x:si>
  <x:si>
    <x:t xml:space="preserve">c_min</x:t>
  </x:si>
  <x:si>
    <x:t xml:space="preserve">e_min (Tier 3 governed interval)</x:t>
  </x:si>
  <x:si>
    <x:t xml:space="preserve">Tier 2 default: e_k = 1.00 unless a named governed instrument is explicitly declared.</x:t>
  </x:si>
  <x:si>
    <x:t xml:space="preserve">e_max (Tier 3 governed interval)</x:t>
  </x:si>
  <x:si>
    <x:t xml:space="preserve">Tier 3 governed interval only; non-default e_k requires provenance + sensitivity disclosure.</x:t>
  </x:si>
  <x:si>
    <x:t xml:space="preserve">UNION WEIGHTS (w_u) - PROFILE-DRIVEN</x:t>
  </x:si>
  <x:si>
    <x:t xml:space="preserve">U1 Self</x:t>
  </x:si>
  <x:si>
    <x:t xml:space="preserve">U2 Family/Household</x:t>
  </x:si>
  <x:si>
    <x:t xml:space="preserve">U3 Community</x:t>
  </x:si>
  <x:si>
    <x:t xml:space="preserve">U4 Organization</x:t>
  </x:si>
  <x:si>
    <x:t xml:space="preserve">U5 Polity</x:t>
  </x:si>
  <x:si>
    <x:t xml:space="preserve">U6 Humanity/CMIU</x:t>
  </x:si>
  <x:si>
    <x:t xml:space="preserve">U7 Biosphere</x:t>
  </x:si>
  <x:si>
    <x:t xml:space="preserve">DIMENSION WEIGHTS (v_d) - UNIFORM</x:t>
  </x:si>
  <x:si>
    <x:t xml:space="preserve">D1 Material</x:t>
  </x:si>
  <x:si>
    <x:t xml:space="preserve">D2 Health</x:t>
  </x:si>
  <x:si>
    <x:t xml:space="preserve">D3 Social</x:t>
  </x:si>
  <x:si>
    <x:t xml:space="preserve">D4 Knowledge</x:t>
  </x:si>
  <x:si>
    <x:t xml:space="preserve">D5 Agency</x:t>
  </x:si>
  <x:si>
    <x:t xml:space="preserve">D6 Meaning</x:t>
  </x:si>
  <x:si>
    <x:t xml:space="preserve">D7 Environment</x:t>
  </x:si>
  <x:si>
    <x:t xml:space="preserve">NOTE: These are UNIFORM DEFAULT WEIGHTS (1/7 each).</x:t>
  </x:si>
  <x:si>
    <x:t xml:space="preserve">NOTE: v2.3 defaults to PLSS_Local_Scope-derived union weights (floor-preserving residual allocation).</x:t>
  </x:si>
  <x:si>
    <x:t xml:space="preserve">Set q_u on PLSS_Local_Scope; use equal q_u values for a uniform baseline.</x:t>
  </x:si>
  <x:si>
    <x:t xml:space="preserve">v9.0 NOTE: Uncertainty estimation REQUIRED for all active cells at Tier 2+</x:t>
  </x:si>
  <x:si>
    <x:t xml:space="preserve">Active cell definition: m(u,d)=1 for RLS ∪ rights-covered ∪ catastrophe ∪ governance minimum</x:t>
  </x:si>
  <x:si>
    <x:t xml:space="preserve">PRACTICAL LOCAL SCOPE SCORING (PLSS) - v2.0 HELPER</x:t>
  </x:si>
  <x:si>
    <x:t xml:space="preserve">Purpose</x:t>
  </x:si>
  <x:si>
    <x:t xml:space="preserve">Compute floor-preserving local union weights for RippleLogic v9.0. Enter q_u values for the unions that are actually live in the decision; the sheet preserves constitutional floors and allocates only the residual.</x:t>
  </x:si>
  <x:si>
    <x:t xml:space="preserve">Framework</x:t>
  </x:si>
  <x:si>
    <x:t xml:space="preserve">SGP</x:t>
  </x:si>
  <x:si>
    <x:t xml:space="preserve">Sheet Version</x:t>
  </x:si>
  <x:si>
    <x:t xml:space="preserve">Weight Profile</x:t>
  </x:si>
  <x:si>
    <x:t xml:space="preserve">Key Rule</x:t>
  </x:si>
  <x:si>
    <x:t xml:space="preserve">Score near, guard far. Floors remain present; q_u allocates only the residual.</x:t>
  </x:si>
  <x:si>
    <x:t xml:space="preserve">Union Scope</x:t>
  </x:si>
  <x:si>
    <x:t xml:space="preserve">q_u</x:t>
  </x:si>
  <x:si>
    <x:t xml:space="preserve">w_u^floor</x:t>
  </x:si>
  <x:si>
    <x:t xml:space="preserve">rho_u</x:t>
  </x:si>
  <x:si>
    <x:t xml:space="preserve">w_u^PLSS</x:t>
  </x:si>
  <x:si>
    <x:t xml:space="preserve">Role</x:t>
  </x:si>
  <x:si>
    <x:t xml:space="preserve">Note</x:t>
  </x:si>
  <x:si>
    <x:t xml:space="preserve">q_u ReasonCode</x:t>
  </x:si>
  <x:si>
    <x:t xml:space="preserve">q_u SourceNote</x:t>
  </x:si>
  <x:si>
    <x:t xml:space="preserve">Near-field self</x:t>
  </x:si>
  <x:si>
    <x:t xml:space="preserve">NEAR_FIELD_PROMINENCE</x:t>
  </x:si>
  <x:si>
    <x:t xml:space="preserve">Near-field lived impact emphasis for self.</x:t>
  </x:si>
  <x:si>
    <x:t xml:space="preserve">U2 Household</x:t>
  </x:si>
  <x:si>
    <x:t xml:space="preserve">Primary directly lived/support unit</x:t>
  </x:si>
  <x:si>
    <x:t xml:space="preserve">Primary household/support exposure.</x:t>
  </x:si>
  <x:si>
    <x:t xml:space="preserve">Local repeated-contact network</x:t>
  </x:si>
  <x:si>
    <x:t xml:space="preserve">Local repeated-interaction network exposure.</x:t>
  </x:si>
  <x:si>
    <x:t xml:space="preserve">Structured institution involved</x:t>
  </x:si>
  <x:si>
    <x:t xml:space="preserve">Organizational operational exposure.</x:t>
  </x:si>
  <x:si>
    <x:t xml:space="preserve">Governance/public legitimacy</x:t>
  </x:si>
  <x:si>
    <x:t xml:space="preserve">GUARDRAIL_SIGNAL</x:t>
  </x:si>
  <x:si>
    <x:t xml:space="preserve">Public-governance spillover review.</x:t>
  </x:si>
  <x:si>
    <x:t xml:space="preserve">Cross-border/system-wide coordination</x:t>
  </x:si>
  <x:si>
    <x:t xml:space="preserve">Cross-border/system coordination check.</x:t>
  </x:si>
  <x:si>
    <x:t xml:space="preserve">Ecological support systems</x:t>
  </x:si>
  <x:si>
    <x:t xml:space="preserve">Ecological guardrail presence.</x:t>
  </x:si>
  <x:si>
    <x:t xml:space="preserve">Residual Mass</x:t>
  </x:si>
  <x:si>
    <x:t xml:space="preserve">Check: Sum w_u^PLSS</x:t>
  </x:si>
  <x:si>
    <x:t xml:space="preserve">Check: Floors preserved</x:t>
  </x:si>
  <x:si>
    <x:t xml:space="preserve">Suggested Scope Mode</x:t>
  </x:si>
  <x:si>
    <x:t xml:space="preserve">Operator Note</x:t>
  </x:si>
  <x:si>
    <x:t xml:space="preserve">Use PLSS only after NCRC/TRC/Containment are preserved. If broader rights, tail-risk, lock-in, or hidden externalities become plausible, escalate beyond local-only ranking.</x:t>
  </x:si>
  <x:si>
    <x:t xml:space="preserve">PLSS PCC BLOCK (v9.0 companion disclosure)</x:t>
  </x:si>
  <x:si>
    <x:t xml:space="preserve">LSS Declaration</x:t>
  </x:si>
  <x:si>
    <x:t xml:space="preserve">Decision owner, household, community, organization, polity, and biosphere pathways declared through the worked-run stakeholder set for this remote-work policy exemplar.</x:t>
  </x:si>
  <x:si>
    <x:t xml:space="preserve">Operator Declaration</x:t>
  </x:si>
  <x:si>
    <x:t xml:space="preserve">Default PLSS residual-allocation operator: direct q_u normalization with constitutional floor-preserving residual mass.</x:t>
  </x:si>
  <x:si>
    <x:t xml:space="preserve">Scope Posture Classification</x:t>
  </x:si>
  <x:si>
    <x:t xml:space="preserve">Declared scope posture is surfaced through the Prominent/Guardrail classifications in F12:F18.</x:t>
  </x:si>
  <x:si>
    <x:t xml:space="preserve">Escalation-Trigger Assessment</x:t>
  </x:si>
  <x:si>
    <x:t xml:space="preserve">No active ET trigger requiring a broader-scope rerun was identified in this worked-run exemplar; revisit if hidden externalities, rights expansion, catastrophe relevance, or lock-in becomes plausible.</x:t>
  </x:si>
  <x:si>
    <x:t xml:space="preserve">Fallback Declaration</x:t>
  </x:si>
  <x:si>
    <x:t xml:space="preserve">If SUM(q_u)=0, the workbook uses the uniform residual fallback (1/7 per scope) exactly as encoded in D12:D18.</x:t>
  </x:si>
  <x:si>
    <x:t xml:space="preserve">CANONICAL RIGHTS COVERAGE SETS - 70 Entries</x:t>
  </x:si>
  <x:si>
    <x:t xml:space="preserve">Reference: RippleLogic v9.0 Section 7.2</x:t>
  </x:si>
  <x:si>
    <x:t xml:space="preserve">#</x:t>
  </x:si>
  <x:si>
    <x:t xml:space="preserve">Union</x:t>
  </x:si>
  <x:si>
    <x:t xml:space="preserve">Dimension</x:t>
  </x:si>
  <x:si>
    <x:t xml:space="preserve">U1</x:t>
  </x:si>
  <x:si>
    <x:t xml:space="preserve">D2</x:t>
  </x:si>
  <x:si>
    <x:t xml:space="preserve">U2</x:t>
  </x:si>
  <x:si>
    <x:t xml:space="preserve">U3</x:t>
  </x:si>
  <x:si>
    <x:t xml:space="preserve">U4</x:t>
  </x:si>
  <x:si>
    <x:t xml:space="preserve">U5</x:t>
  </x:si>
  <x:si>
    <x:t xml:space="preserve">U6</x:t>
  </x:si>
  <x:si>
    <x:t xml:space="preserve">D7</x:t>
  </x:si>
  <x:si>
    <x:t xml:space="preserve">U7</x:t>
  </x:si>
  <x:si>
    <x:t xml:space="preserve">D5</x:t>
  </x:si>
  <x:si>
    <x:t xml:space="preserve">D3</x:t>
  </x:si>
  <x:si>
    <x:t xml:space="preserve">D1</x:t>
  </x:si>
  <x:si>
    <x:t xml:space="preserve">D4</x:t>
  </x:si>
  <x:si>
    <x:t xml:space="preserve">I_prop_A</x:t>
  </x:si>
  <x:si>
    <x:t xml:space="preserve">I_prop_B</x:t>
  </x:si>
  <x:si>
    <x:t xml:space="preserve">I_rights_A</x:t>
  </x:si>
  <x:si>
    <x:t xml:space="preserve">I_rights_B</x:t>
  </x:si>
  <x:si>
    <x:t xml:space="preserve">Subgroup_Override_A</x:t>
  </x:si>
  <x:si>
    <x:t xml:space="preserve">Subgroup_Override_B</x:t>
  </x:si>
  <x:si>
    <x:t xml:space="preserve">Right_clean</x:t>
  </x:si>
  <x:si>
    <x:t xml:space="preserve">I_rights_A_num</x:t>
  </x:si>
  <x:si>
    <x:t xml:space="preserve">I_rights_B_num</x:t>
  </x:si>
  <x:si>
    <x:t xml:space="preserve">Key_A</x:t>
  </x:si>
  <x:si>
    <x:t xml:space="preserve">Key_B</x:t>
  </x:si>
  <x:si>
    <x:t xml:space="preserve">CATASTROPHE CELL SET (C_cat) - TRC Loss Computation</x:t>
  </x:si>
  <x:si>
    <x:t xml:space="preserve">Reference: RippleLogic v9.0 Section 8.3</x:t>
  </x:si>
  <x:si>
    <x:t xml:space="preserve">BASE SET (Canonical - governance approval required to extend)</x:t>
  </x:si>
  <x:si>
    <x:t xml:space="preserve">Cell</x:t>
  </x:si>
  <x:si>
    <x:t xml:space="preserve">Weight (ω_c)</x:t>
  </x:si>
  <x:si>
    <x:t xml:space="preserve">Rationale</x:t>
  </x:si>
  <x:si>
    <x:t xml:space="preserve">C1</x:t>
  </x:si>
  <x:si>
    <x:t xml:space="preserve">D2 (Health)</x:t>
  </x:si>
  <x:si>
    <x:t xml:space="preserve">Humanity health catastrophe</x:t>
  </x:si>
  <x:si>
    <x:t xml:space="preserve">C2</x:t>
  </x:si>
  <x:si>
    <x:t xml:space="preserve">D7 (Environ)</x:t>
  </x:si>
  <x:si>
    <x:t xml:space="preserve">Humanity-environment interface</x:t>
  </x:si>
  <x:si>
    <x:t xml:space="preserve">C3</x:t>
  </x:si>
  <x:si>
    <x:t xml:space="preserve">Biosphere integrity</x:t>
  </x:si>
  <x:si>
    <x:t xml:space="preserve">Weight Sum Check:</x:t>
  </x:si>
  <x:si>
    <x:t xml:space="preserve">Must = 1.00</x:t>
  </x:si>
  <x:si>
    <x:t xml:space="preserve">EXTENSION GOVERNANCE</x:t>
  </x:si>
  <x:si>
    <x:t xml:space="preserve">Extended cells require:</x:t>
  </x:si>
  <x:si>
    <x:t xml:space="preserve">  - Tier 3+ governance approval</x:t>
  </x:si>
  <x:si>
    <x:t xml:space="preserve">  - Documentation in PCC</x:t>
  </x:si>
  <x:si>
    <x:t xml:space="preserve">  - CCAT_EXTENDED flag set</x:t>
  </x:si>
  <x:si>
    <x:t xml:space="preserve">CCAT_EXTENDED Flag:</x:t>
  </x:si>
  <x:si>
    <x:t xml:space="preserve">NO - BASE ONLY</x:t>
  </x:si>
  <x:si>
    <x:t xml:space="preserve">MANDATORY TAIL RISK CATEGORIES (WTSL)</x:t>
  </x:si>
  <x:si>
    <x:t xml:space="preserve">Reference: RippleLogic v9.0 Section 8.5</x:t>
  </x:si>
  <x:si>
    <x:t xml:space="preserve">Mandatory tails apply by default. WTSL-AIX is mandatory only if AI Deployment = YES.</x:t>
  </x:si>
  <x:si>
    <x:t xml:space="preserve">Included voluntarily (precautionary)</x:t>
  </x:si>
  <x:si>
    <x:t xml:space="preserve">Code</x:t>
  </x:si>
  <x:si>
    <x:t xml:space="preserve">Category</x:t>
  </x:si>
  <x:si>
    <x:t xml:space="preserve">Description</x:t>
  </x:si>
  <x:si>
    <x:t xml:space="preserve">p(cat)</x:t>
  </x:si>
  <x:si>
    <x:t xml:space="preserve">Pandemic</x:t>
  </x:si>
  <x:si>
    <x:t xml:space="preserve">Global health crisis</x:t>
  </x:si>
  <x:si>
    <x:t xml:space="preserve">Climate</x:t>
  </x:si>
  <x:si>
    <x:t xml:space="preserve">Climate catastrophe</x:t>
  </x:si>
  <x:si>
    <x:t xml:space="preserve">Financial</x:t>
  </x:si>
  <x:si>
    <x:t xml:space="preserve">Financial system collapse</x:t>
  </x:si>
  <x:si>
    <x:t xml:space="preserve">Conflict</x:t>
  </x:si>
  <x:si>
    <x:t xml:space="preserve">Major armed conflict</x:t>
  </x:si>
  <x:si>
    <x:t xml:space="preserve">Infrastructure</x:t>
  </x:si>
  <x:si>
    <x:t xml:space="preserve">Critical infrastructure failure</x:t>
  </x:si>
  <x:si>
    <x:t xml:space="preserve">AI Risk</x:t>
  </x:si>
  <x:si>
    <x:t xml:space="preserve">AI misalignment event</x:t>
  </x:si>
  <x:si>
    <x:t xml:space="preserve">COVERAGE CHECK</x:t>
  </x:si>
  <x:si>
    <x:t xml:space="preserve">Mandatory Count:</x:t>
  </x:si>
  <x:si>
    <x:t xml:space="preserve">(5 if AI_DEPLOYMENT=NO, 6 if YES)</x:t>
  </x:si>
  <x:si>
    <x:t xml:space="preserve">Covered Count:</x:t>
  </x:si>
  <x:si>
    <x:t xml:space="preserve">Probability Sum:</x:t>
  </x:si>
  <x:si>
    <x:t xml:space="preserve">(tail scenarios; baseline = 0.60)</x:t>
  </x:si>
  <x:si>
    <x:t xml:space="preserve">IMPACT INSTANCE INPUT</x:t>
  </x:si>
  <x:si>
    <x:t xml:space="preserve">Formula: Contribution = μ × r × ℓ × c × e × s × τ(t)</x:t>
  </x:si>
  <x:si>
    <x:t xml:space="preserve">Tier-2 disclosure surface added: ReachBasisType / Denominator / Estimator per logged impact instance.</x:t>
  </x:si>
  <x:si>
    <x:t xml:space="preserve">v9.x+1 hardening: explicit e_k governance + provenance fields for each logged impact instance.</x:t>
  </x:si>
  <x:si>
    <x:t xml:space="preserve">τ(t) = MIN(1, LN(1+MAX(t, t_min)) / LN(1+T_ref))  where T_ref=25, t_min=0.083 [v9.0 Appendix B.1]</x:t>
  </x:si>
  <x:si>
    <x:t xml:space="preserve">ID</x:t>
  </x:si>
  <x:si>
    <x:t xml:space="preserve">Opt</x:t>
  </x:si>
  <x:si>
    <x:t xml:space="preserve">Dim</x:t>
  </x:si>
  <x:si>
    <x:t xml:space="preserve">μ</x:t>
  </x:si>
  <x:si>
    <x:t xml:space="preserve">r</x:t>
  </x:si>
  <x:si>
    <x:t xml:space="preserve">ℓ</x:t>
  </x:si>
  <x:si>
    <x:t xml:space="preserve">c</x:t>
  </x:si>
  <x:si>
    <x:t xml:space="preserve">t</x:t>
  </x:si>
  <x:si>
    <x:t xml:space="preserve">e</x:t>
  </x:si>
  <x:si>
    <x:t xml:space="preserve">s</x:t>
  </x:si>
  <x:si>
    <x:t xml:space="preserve">τ(t)</x:t>
  </x:si>
  <x:si>
    <x:t xml:space="preserve">Contrib</x:t>
  </x:si>
  <x:si>
    <x:t xml:space="preserve">ReachBasisType</x:t>
  </x:si>
  <x:si>
    <x:t xml:space="preserve">ReachBasisDenominator</x:t>
  </x:si>
  <x:si>
    <x:t xml:space="preserve">ReachBasisEstimator</x:t>
  </x:si>
  <x:si>
    <x:t xml:space="preserve">e_k_ReasonCode</x:t>
  </x:si>
  <x:si>
    <x:t xml:space="preserve">e_k_DefaultCounterfactual</x:t>
  </x:si>
  <x:si>
    <x:t xml:space="preserve">Input_Provenance_Note</x:t>
  </x:si>
  <x:si>
    <x:t xml:space="preserve">I01</x:t>
  </x:si>
  <x:si>
    <x:t xml:space="preserve">A</x:t>
  </x:si>
  <x:si>
    <x:t xml:space="preserve">Reduced in-person interaction</x:t>
  </x:si>
  <x:si>
    <x:t xml:space="preserve">DECLARED_INSTANCE_SHARE</x:t>
  </x:si>
  <x:si>
    <x:t xml:space="preserve">Context-specific affected group or exposure denominator</x:t>
  </x:si>
  <x:si>
    <x:t xml:space="preserve">Tier-2 analyst estimate</x:t>
  </x:si>
  <x:si>
    <x:t xml:space="preserve">DEFAULT_1.00</x:t>
  </x:si>
  <x:si>
    <x:t xml:space="preserve">Worked-run analyst estimate; see PCC Section 17 for provenance and materiality rules.</x:t>
  </x:si>
  <x:si>
    <x:t xml:space="preserve">I02</x:t>
  </x:si>
  <x:si>
    <x:t xml:space="preserve">Increased online community</x:t>
  </x:si>
  <x:si>
    <x:t xml:space="preserve">I03</x:t>
  </x:si>
  <x:si>
    <x:t xml:space="preserve">Increased work flexibility</x:t>
  </x:si>
  <x:si>
    <x:t xml:space="preserve">I04</x:t>
  </x:si>
  <x:si>
    <x:t xml:space="preserve">Reduced commuting costs</x:t>
  </x:si>
  <x:si>
    <x:t xml:space="preserve">I05</x:t>
  </x:si>
  <x:si>
    <x:t xml:space="preserve">D6</x:t>
  </x:si>
  <x:si>
    <x:t xml:space="preserve">Better work-life balance</x:t>
  </x:si>
  <x:si>
    <x:t xml:space="preserve">I06</x:t>
  </x:si>
  <x:si>
    <x:t xml:space="preserve">Reduced carbon emissions</x:t>
  </x:si>
  <x:si>
    <x:t xml:space="preserve">I07</x:t>
  </x:si>
  <x:si>
    <x:t xml:space="preserve">Tech infrastructure costs</x:t>
  </x:si>
  <x:si>
    <x:t xml:space="preserve">I08</x:t>
  </x:si>
  <x:si>
    <x:t xml:space="preserve">Reduced local business revenue</x:t>
  </x:si>
  <x:si>
    <x:t xml:space="preserve">I09</x:t>
  </x:si>
  <x:si>
    <x:t xml:space="preserve">B</x:t>
  </x:si>
  <x:si>
    <x:t xml:space="preserve">Maintained in-person bonds</x:t>
  </x:si>
  <x:si>
    <x:t xml:space="preserve">I10</x:t>
  </x:si>
  <x:si>
    <x:t xml:space="preserve">Limited flexibility</x:t>
  </x:si>
  <x:si>
    <x:t xml:space="preserve">I11</x:t>
  </x:si>
  <x:si>
    <x:t xml:space="preserve">Continued commuting costs</x:t>
  </x:si>
  <x:si>
    <x:t xml:space="preserve">I12</x:t>
  </x:si>
  <x:si>
    <x:t xml:space="preserve">Continued emissions</x:t>
  </x:si>
  <x:si>
    <x:t xml:space="preserve">I13</x:t>
  </x:si>
  <x:si>
    <x:t xml:space="preserve">Stable infrastructure</x:t>
  </x:si>
  <x:si>
    <x:t xml:space="preserve">I14</x:t>
  </x:si>
  <x:si>
    <x:t xml:space="preserve">Maintained local business</x:t>
  </x:si>
  <x:si>
    <x:t xml:space="preserve">SCENARIO-CONDITIONED IMPACT TABLES</x:t>
  </x:si>
  <x:si>
    <x:t xml:space="preserve">Reference: RippleLogic v9.0 Section 8.4</x:t>
  </x:si>
  <x:si>
    <x:t xml:space="preserve">L(a,s) = Σ_{c∈C_cat} ω_c × max(0, −I_prop_c(a|s))</x:t>
  </x:si>
  <x:si>
    <x:t xml:space="preserve">NOTE: Loss is computed from catastrophe-cell impacts. Do NOT manually enter Loss. Fill catastrophe-cell impacts (F:H) per scenario; Loss (computed) updates automatically.</x:t>
  </x:si>
  <x:si>
    <x:t xml:space="preserve">v9.x+1 hardening: scenario-probability provenance fields added for audit replay.</x:t>
  </x:si>
  <x:si>
    <x:t xml:space="preserve">C_cat: U6-D2(0.35), U6-D7(0.30), U7-D7(0.35)</x:t>
  </x:si>
  <x:si>
    <x:t xml:space="preserve">OPTION A SCENARIO LOSSES</x:t>
  </x:si>
  <x:si>
    <x:t xml:space="preserve">Scenario</x:t>
  </x:si>
  <x:si>
    <x:t xml:space="preserve">p(s)</x:t>
  </x:si>
  <x:si>
    <x:t xml:space="preserve">Loss</x:t>
  </x:si>
  <x:si>
    <x:t xml:space="preserve">Pathway</x:t>
  </x:si>
  <x:si>
    <x:t xml:space="preserve">U6-D2 I_prop</x:t>
  </x:si>
  <x:si>
    <x:t xml:space="preserve">U6-D7 I_prop</x:t>
  </x:si>
  <x:si>
    <x:t xml:space="preserve">U7-D7 I_prop</x:t>
  </x:si>
  <x:si>
    <x:t xml:space="preserve">Loss (computed)</x:t>
  </x:si>
  <x:si>
    <x:t xml:space="preserve">p_s_ReasonCode</x:t>
  </x:si>
  <x:si>
    <x:t xml:space="preserve">p_s_SourceNote</x:t>
  </x:si>
  <x:si>
    <x:t xml:space="preserve">S01</x:t>
  </x:si>
  <x:si>
    <x:t xml:space="preserve">BASELINE</x:t>
  </x:si>
  <x:si>
    <x:t xml:space="preserve">Minor monitoring reduction</x:t>
  </x:si>
  <x:si>
    <x:t xml:space="preserve">DECLARED_PRIOR</x:t>
  </x:si>
  <x:si>
    <x:t xml:space="preserve">Worked-run structured scenario prior; see PCC Section 17.</x:t>
  </x:si>
  <x:si>
    <x:t xml:space="preserve">S02</x:t>
  </x:si>
  <x:si>
    <x:t xml:space="preserve">Budget cuts reduce compliance</x:t>
  </x:si>
  <x:si>
    <x:t xml:space="preserve">S03</x:t>
  </x:si>
  <x:si>
    <x:t xml:space="preserve">Health crisis, isolation stress</x:t>
  </x:si>
  <x:si>
    <x:t xml:space="preserve">S04</x:t>
  </x:si>
  <x:si>
    <x:t xml:space="preserve">Climate degrades biosphere</x:t>
  </x:si>
  <x:si>
    <x:t xml:space="preserve">S05</x:t>
  </x:si>
  <x:si>
    <x:t xml:space="preserve">Tech dependency vulnerability</x:t>
  </x:si>
  <x:si>
    <x:t xml:space="preserve">S06</x:t>
  </x:si>
  <x:si>
    <x:t xml:space="preserve">Conflict casualties</x:t>
  </x:si>
  <x:si>
    <x:t xml:space="preserve">S07</x:t>
  </x:si>
  <x:si>
    <x:t xml:space="preserve">AI failures cascade</x:t>
  </x:si>
  <x:si>
    <x:t xml:space="preserve">OPTION B SCENARIO LOSSES</x:t>
  </x:si>
  <x:si>
    <x:t xml:space="preserve">Emissions continue</x:t>
  </x:si>
  <x:si>
    <x:t xml:space="preserve">Community bonds buffer</x:t>
  </x:si>
  <x:si>
    <x:t xml:space="preserve">Transmission risk</x:t>
  </x:si>
  <x:si>
    <x:t xml:space="preserve">Resilience buffers</x:t>
  </x:si>
  <x:si>
    <x:t xml:space="preserve">Less tech-dependent</x:t>
  </x:si>
  <x:si>
    <x:t xml:space="preserve">Human coord persists</x:t>
  </x:si>
  <x:si>
    <x:t xml:space="preserve">Less AI dependency</x:t>
  </x:si>
  <x:si>
    <x:t xml:space="preserve">KEY INSIGHT: Option A has 0 catastrophic loss; Option B has minor loss (0.003574) in baseline</x:t>
  </x:si>
  <x:si>
    <x:t xml:space="preserve">Both options pass TRC (CVaR ≤ τ_TRC = 0.20)</x:t>
  </x:si>
  <x:si>
    <x:t xml:space="preserve">NOTE: WTSL-AIX (S07) included voluntarily as precautionary measure.</x:t>
  </x:si>
  <x:si>
    <x:t xml:space="preserve">AI_DEPLOYMENT=NO, so not mandatory for tail coverage.</x:t>
  </x:si>
  <x:si>
    <x:t xml:space="preserve">IMPACT PROPAGATION MATRIX (I_prop)</x:t>
  </x:si>
  <x:si>
    <x:t xml:space="preserve">Mode: NONE (direct aggregation from Impact_Input; post-saturation tanh(β×Ĩ_dir))</x:t>
  </x:si>
  <x:si>
    <x:t xml:space="preserve">OPTION A</x:t>
  </x:si>
  <x:si>
    <x:t xml:space="preserve">OPTION B</x:t>
  </x:si>
  <x:si>
    <x:t xml:space="preserve">LEVEL 1: NON-COMPENSATORY RIGHTS CONSTRAINT (NCRC)</x:t>
  </x:si>
  <x:si>
    <x:t xml:space="preserve">Reference: RippleLogic v9.0 Section 7.0</x:t>
  </x:si>
  <x:si>
    <x:t xml:space="preserve">Rule: For each right r, MIN impact across coverage set must be ≥ θ_r</x:t>
  </x:si>
  <x:si>
    <x:t xml:space="preserve">NCRC RIGHTS FLOOR CHECK (Min_I_rights vs θ_r; PASS if Min_I_rights ≥ θ_r)</x:t>
  </x:si>
  <x:si>
    <x:t xml:space="preserve">OPTION A RIGHTS CHECK</x:t>
  </x:si>
  <x:si>
    <x:t xml:space="preserve">Source locator (first matching minimum)</x:t>
  </x:si>
  <x:si>
    <x:t xml:space="preserve">Min_I_rights_A</x:t>
  </x:si>
  <x:si>
    <x:t xml:space="preserve">Min_I_rights_B</x:t>
  </x:si>
  <x:si>
    <x:t xml:space="preserve">Pass_A</x:t>
  </x:si>
  <x:si>
    <x:t xml:space="preserve">Pass_B</x:t>
  </x:si>
  <x:si>
    <x:t xml:space="preserve">Worst_Cell_A</x:t>
  </x:si>
  <x:si>
    <x:t xml:space="preserve">Worst_Cell_B</x:t>
  </x:si>
  <x:si>
    <x:t xml:space="preserve">NCRC OUTCOME</x:t>
  </x:si>
  <x:si>
    <x:t xml:space="preserve">Option A:</x:t>
  </x:si>
  <x:si>
    <x:t xml:space="preserve">PASS (all rights satisfied)</x:t>
  </x:si>
  <x:si>
    <x:t xml:space="preserve">NCRC_A_status</x:t>
  </x:si>
  <x:si>
    <x:t xml:space="preserve">(All v_r = 0)</x:t>
  </x:si>
  <x:si>
    <x:t xml:space="preserve">Option B:</x:t>
  </x:si>
  <x:si>
    <x:t xml:space="preserve">NCRC_B_status</x:t>
  </x:si>
  <x:si>
    <x:t xml:space="preserve">Note: Proof snippet columns (H:I) show the Rights_Coverage_View cell holding the worst-off I_rights value when a distinct adverse minimum is identified; they may remain blank for neutral/zero minima.</x:t>
  </x:si>
  <x:si>
    <x:t xml:space="preserve">Legacy duplicate display block removed. The canonical NCRC results for this workbook are the upper comparison block and the NCRC OUTCOME section only.</x:t>
  </x:si>
  <x:si>
    <x:t xml:space="preserve">LEVEL 2: TAIL RISK CONSTRAINT (TRC)</x:t>
  </x:si>
  <x:si>
    <x:t xml:space="preserve">Reference: RippleLogic v9.0 Appendix D.7</x:t>
  </x:si>
  <x:si>
    <x:t xml:space="preserve">Algorithm: Discrete CVaR with sorted-tail method</x:t>
  </x:si>
  <x:si>
    <x:t xml:space="preserve">PARAMETERS</x:t>
  </x:si>
  <x:si>
    <x:t xml:space="preserve">α (confidence):</x:t>
  </x:si>
  <x:si>
    <x:t xml:space="preserve">SortKey</x:t>
  </x:si>
  <x:si>
    <x:t xml:space="preserve">Rank</x:t>
  </x:si>
  <x:si>
    <x:t xml:space="preserve">Sorted scenarios</x:t>
  </x:si>
  <x:si>
    <x:t xml:space="preserve">β (tail mass):</x:t>
  </x:si>
  <x:si>
    <x:t xml:space="preserve">Cum_p</x:t>
  </x:si>
  <x:si>
    <x:t xml:space="preserve">Tail_w</x:t>
  </x:si>
  <x:si>
    <x:t xml:space="preserve">Tail_contrib</x:t>
  </x:si>
  <x:si>
    <x:t xml:space="preserve">τ_TRC (threshold):</x:t>
  </x:si>
  <x:si>
    <x:t xml:space="preserve">Context:</x:t>
  </x:si>
  <x:si>
    <x:t xml:space="preserve">OPTION A: CVaR COMPUTATION</x:t>
  </x:si>
  <x:si>
    <x:t xml:space="preserve">Step 1: Sort scenarios by Loss DESCENDING</x:t>
  </x:si>
  <x:si>
    <x:t xml:space="preserve">In Tail</x:t>
  </x:si>
  <x:si>
    <x:t xml:space="preserve">Tail_Weight</x:t>
  </x:si>
  <x:si>
    <x:t xml:space="preserve">Contribution</x:t>
  </x:si>
  <x:si>
    <x:t xml:space="preserve">PARTIAL</x:t>
  </x:si>
  <x:si>
    <x:t xml:space="preserve">Step 2: CVaR_A = Σ(Contribution) / β</x:t>
  </x:si>
  <x:si>
    <x:t xml:space="preserve">Sum of contributions:</x:t>
  </x:si>
  <x:si>
    <x:t xml:space="preserve">CVaR_A:</x:t>
  </x:si>
  <x:si>
    <x:t xml:space="preserve">Status:</x:t>
  </x:si>
  <x:si>
    <x:t xml:space="preserve">PASS</x:t>
  </x:si>
  <x:si>
    <x:t xml:space="preserve">(CVaR_A = 0.0219 ≤ τ_TRC = 0.20)</x:t>
  </x:si>
  <x:si>
    <x:t xml:space="preserve">OPTION B: CVaR COMPUTATION</x:t>
  </x:si>
  <x:si>
    <x:t xml:space="preserve">Step 2: CVaR_B = Σ(Contribution) / β</x:t>
  </x:si>
  <x:si>
    <x:t xml:space="preserve">CVaR_B:</x:t>
  </x:si>
  <x:si>
    <x:t xml:space="preserve">(CVaR_B = 0.0315 ≤ τ_TRC = 0.20)</x:t>
  </x:si>
  <x:si>
    <x:t xml:space="preserve">TRC OUTCOME</x:t>
  </x:si>
  <x:si>
    <x:t xml:space="preserve">A_adm = {A, B}</x:t>
  </x:si>
  <x:si>
    <x:t xml:space="preserve">TRC Mode: NORMAL (both options pass)</x:t>
  </x:si>
  <x:si>
    <x:t xml:space="preserve">Cascade proceeds to Containment (Level 3)</x:t>
  </x:si>
  <x:si>
    <x:t xml:space="preserve">LEVEL 3: CONTAINMENT CONSTRAINT (Tier 2 proxy: union-score diagnostic)</x:t>
  </x:si>
  <x:si>
    <x:t xml:space="preserve">Containment computed</x:t>
  </x:si>
  <x:si>
    <x:t xml:space="preserve">Reference: Section 9.0 (Full ΔUCI containment is Tier 3+ binding; Tier 2 uses proxy display here) [v9.0]</x:t>
  </x:si>
  <x:si>
    <x:t xml:space="preserve">τ_c</x:t>
  </x:si>
  <x:si>
    <x:t xml:space="preserve">S_u(A)</x:t>
  </x:si>
  <x:si>
    <x:t xml:space="preserve">S_u(B)</x:t>
  </x:si>
  <x:si>
    <x:t xml:space="preserve">OPTION A: UNION SCORES</x:t>
  </x:si>
  <x:si>
    <x:t xml:space="preserve">Containment_Status_A</x:t>
  </x:si>
  <x:si>
    <x:t xml:space="preserve">Containment_Status_B</x:t>
  </x:si>
  <x:si>
    <x:t xml:space="preserve">U_pos(A) = {U1} (U1 ≥ 0.05)</x:t>
  </x:si>
  <x:si>
    <x:t xml:space="preserve">Containment_A: PASS (vacuous)</x:t>
  </x:si>
  <x:si>
    <x:t xml:space="preserve">OPTION B: UNION SCORES</x:t>
  </x:si>
  <x:si>
    <x:t xml:space="preserve">U_pos(B) = ∅ (no union ≥ 0.05)</x:t>
  </x:si>
  <x:si>
    <x:t xml:space="preserve">Containment_B: PASS (vacuous)</x:t>
  </x:si>
  <x:si>
    <x:t xml:space="preserve">CONTAINMENT OUTCOME</x:t>
  </x:si>
  <x:si>
    <x:t xml:space="preserve">A_sel (Selectable): {A, B}</x:t>
  </x:si>
  <x:si>
    <x:t xml:space="preserve">Cascade proceeds to RLS (Level 4)</x:t>
  </x:si>
  <x:si>
    <x:t xml:space="preserve">LEVEL 4: RIPPLELOGIC SCORE</x:t>
  </x:si>
  <x:si>
    <x:t xml:space="preserve">Reference: RippleLogic v9.0 Section 10.0</x:t>
  </x:si>
  <x:si>
    <x:t xml:space="preserve">RLS = Σ_u Σ_d w_u × v_d × m(u,d) × κ(u,d) × I_prop_welfare(u,d,a)</x:t>
  </x:si>
  <x:si>
    <x:t xml:space="preserve">RLS(A)</x:t>
  </x:si>
  <x:si>
    <x:t xml:space="preserve">RLS(B)</x:t>
  </x:si>
  <x:si>
    <x:t xml:space="preserve">Preferred option</x:t>
  </x:si>
  <x:si>
    <x:t xml:space="preserve">Union-Dimension Contributions:</x:t>
  </x:si>
  <x:si>
    <x:t xml:space="preserve">U1-D5</x:t>
  </x:si>
  <x:si>
    <x:t xml:space="preserve">U1-D6</x:t>
  </x:si>
  <x:si>
    <x:t xml:space="preserve">U2-D1</x:t>
  </x:si>
  <x:si>
    <x:t xml:space="preserve">U3-D1</x:t>
  </x:si>
  <x:si>
    <x:t xml:space="preserve">U3-D3</x:t>
  </x:si>
  <x:si>
    <x:t xml:space="preserve">U4-D1</x:t>
  </x:si>
  <x:si>
    <x:t xml:space="preserve">U7-D7</x:t>
  </x:si>
  <x:si>
    <x:t xml:space="preserve">Displayed RLS(A)</x:t>
  </x:si>
  <x:si>
    <x:t xml:space="preserve">OPTION B RLS COMPUTATION</x:t>
  </x:si>
  <x:si>
    <x:t xml:space="preserve">Displayed RLS(B)</x:t>
  </x:si>
  <x:si>
    <x:t xml:space="preserve">RLS COMPARISON</x:t>
  </x:si>
  <x:si>
    <x:t xml:space="preserve">Gap</x:t>
  </x:si>
  <x:si>
    <x:t xml:space="preserve">σ_est</x:t>
  </x:si>
  <x:si>
    <x:t xml:space="preserve">RLS outcome</x:t>
  </x:si>
  <x:si>
    <x:t xml:space="preserve">Higher RLS</x:t>
  </x:si>
  <x:si>
    <x:t xml:space="preserve">RLS OUTCOME</x:t>
  </x:si>
  <x:si>
    <x:t xml:space="preserve">Selection interpretation</x:t>
  </x:si>
  <x:si>
    <x:t xml:space="preserve">Per Section 10.0: RLS MUST NEVER override NCRC or TRC</x:t>
  </x:si>
  <x:si>
    <x:t xml:space="preserve">ARCHIVE CALC BLOCK (legacy transparency view; non-controlling)</x:t>
  </x:si>
  <x:si>
    <x:t xml:space="preserve">Canonical RLS values for this run are the live values shown in the summary rows of this sheet and in CANON.</x:t>
  </x:si>
  <x:si>
    <x:t xml:space="preserve">w_u</x:t>
  </x:si>
  <x:si>
    <x:t xml:space="preserve">Preferred by RLS (higher)</x:t>
  </x:si>
  <x:si>
    <x:t xml:space="preserve">LEVEL 5: TIE-BREAK METRICS</x:t>
  </x:si>
  <x:si>
    <x:t xml:space="preserve">Reference: RippleLogic v9.0 Section 11.0</x:t>
  </x:si>
  <x:si>
    <x:t xml:space="preserve">HOI = Hollowing-Out Index (canonical per v9.0)</x:t>
  </x:si>
  <x:si>
    <x:t xml:space="preserve">Per Section 11: Used when RLS is non-decisive</x:t>
  </x:si>
  <x:si>
    <x:t xml:space="preserve">UCI computes structural condition, independent of welfare impacts.</x:t>
  </x:si>
  <x:si>
    <x:t xml:space="preserve">Per union u: UCI_u = (Cohesion + Flow + Resilience + Equity) / 4</x:t>
  </x:si>
  <x:si>
    <x:t xml:space="preserve">Overall: UCI = average(UCI_u) across unions (Tier 2).</x:t>
  </x:si>
  <x:si>
    <x:t xml:space="preserve">R = Review cycle, E = Evidence quality</x:t>
  </x:si>
  <x:si>
    <x:t xml:space="preserve">(Tier 3: sources/provenance required; UCI must be structurally independent of RLS inputs.)</x:t>
  </x:si>
  <x:si>
    <x:t xml:space="preserve">C (Cohesion)</x:t>
  </x:si>
  <x:si>
    <x:t xml:space="preserve">F (Flow)</x:t>
  </x:si>
  <x:si>
    <x:t xml:space="preserve">R (Resilience)</x:t>
  </x:si>
  <x:si>
    <x:t xml:space="preserve">E (Equity)</x:t>
  </x:si>
  <x:si>
    <x:t xml:space="preserve">UCI_u</x:t>
  </x:si>
  <x:si>
    <x:t xml:space="preserve">UCI (mean over unions)</x:t>
  </x:si>
  <x:si>
    <x:t xml:space="preserve">Note: Uniform values = evaluator assessment</x:t>
  </x:si>
  <x:si>
    <x:t xml:space="preserve">For Tier 3: require independent structural indicators</x:t>
  </x:si>
  <x:si>
    <x:t xml:space="preserve">HOI STATUS</x:t>
  </x:si>
  <x:si>
    <x:t xml:space="preserve">HOI = 0 (no human override requested)</x:t>
  </x:si>
  <x:si>
    <x:t xml:space="preserve">Status: OK</x:t>
  </x:si>
  <x:si>
    <x:t xml:space="preserve">TIE-BREAK OUTCOME</x:t>
  </x:si>
  <x:si>
    <x:t xml:space="preserve">UCI: Non-decisive (uniform evaluator assessment)</x:t>
  </x:si>
  <x:si>
    <x:t xml:space="preserve">HOI: 0 (no hollowing-out risk flagged)</x:t>
  </x:si>
  <x:si>
    <x:t xml:space="preserve">Resolution: JUDGMENT_CALL - Select higher RLS (A) with monitoring</x:t>
  </x:si>
  <x:si>
    <x:t xml:space="preserve">RIPPLELOGIC v9.0 - DECISION DASHBOARD</x:t>
  </x:si>
  <x:si>
    <x:t xml:space="preserve">DISCLOSURE</x:t>
  </x:si>
  <x:si>
    <x:t xml:space="preserve">Current dashboard and selection logic implement a two-option comparison (Option A vs Option B). Do not represent the workbook as native multi-option optimization without extending the comparison logic.</x:t>
  </x:si>
  <x:si>
    <x:t xml:space="preserve">DECISION CONTEXT</x:t>
  </x:si>
  <x:si>
    <x:t xml:space="preserve">Decision:</x:t>
  </x:si>
  <x:si>
    <x:t xml:space="preserve">Tier:</x:t>
  </x:si>
  <x:si>
    <x:t xml:space="preserve">TRC Active:</x:t>
  </x:si>
  <x:si>
    <x:t xml:space="preserve">LEXICOGRAPHIC CASCADE</x:t>
  </x:si>
  <x:si>
    <x:t xml:space="preserve">Level</x:t>
  </x:si>
  <x:si>
    <x:t xml:space="preserve">Gate</x:t>
  </x:si>
  <x:si>
    <x:t xml:space="preserve">Option A</x:t>
  </x:si>
  <x:si>
    <x:t xml:space="preserve">Option B</x:t>
  </x:si>
  <x:si>
    <x:t xml:space="preserve">Resolution</x:t>
  </x:si>
  <x:si>
    <x:t xml:space="preserve">1</x:t>
  </x:si>
  <x:si>
    <x:t xml:space="preserve">2</x:t>
  </x:si>
  <x:si>
    <x:t xml:space="preserve">TRC</x:t>
  </x:si>
  <x:si>
    <x:t xml:space="preserve">3</x:t>
  </x:si>
  <x:si>
    <x:t xml:space="preserve">4</x:t>
  </x:si>
  <x:si>
    <x:t xml:space="preserve">RLS</x:t>
  </x:si>
  <x:si>
    <x:t xml:space="preserve">Selection-note:</x:t>
  </x:si>
  <x:si>
    <x:t xml:space="preserve">Two-option surface only (A/B)</x:t>
  </x:si>
  <x:si>
    <x:t xml:space="preserve">Selection Mode:</x:t>
  </x:si>
  <x:si>
    <x:t xml:space="preserve">Selected Option:</x:t>
  </x:si>
  <x:si>
    <x:t xml:space="preserve">Selection Basis:</x:t>
  </x:si>
  <x:si>
    <x:t xml:space="preserve">PLSS Scope Note:</x:t>
  </x:si>
  <x:si>
    <x:t xml:space="preserve">CLAIMABILITY STATUS (from CANON)</x:t>
  </x:si>
  <x:si>
    <x:t xml:space="preserve">Claimable Run:</x:t>
  </x:si>
  <x:si>
    <x:t xml:space="preserve">Invalid Flags:</x:t>
  </x:si>
  <x:si>
    <x:t xml:space="preserve">C_cat Blank Count:</x:t>
  </x:si>
  <x:si>
    <x:t xml:space="preserve">Scenario Impact Missing:</x:t>
  </x:si>
  <x:si>
    <x:t xml:space="preserve">AUDIT FLAGS SUMMARY</x:t>
  </x:si>
  <x:si>
    <x:t xml:space="preserve">Invalid Count:</x:t>
  </x:si>
  <x:si>
    <x:t xml:space="preserve">Escalate Count:</x:t>
  </x:si>
  <x:si>
    <x:t xml:space="preserve">Review Count:</x:t>
  </x:si>
  <x:si>
    <x:t xml:space="preserve">Total Active:</x:t>
  </x:si>
  <x:si>
    <x:t xml:space="preserve">Triggered Flags:</x:t>
  </x:si>
  <x:si>
    <x:t xml:space="preserve">Audit flags (active)</x:t>
  </x:si>
  <x:si>
    <x:t xml:space="preserve">REQUIRED FOLLOW-UP</x:t>
  </x:si>
  <x:si>
    <x:t xml:space="preserve">1. ☐ Document judgment call rationale</x:t>
  </x:si>
  <x:si>
    <x:t xml:space="preserve">2. ☐ Schedule enhanced monitoring (quarterly)</x:t>
  </x:si>
  <x:si>
    <x:t xml:space="preserve">3. ☐ Review date:</x:t>
  </x:si>
  <x:si>
    <x:t xml:space="preserve">4. ☐ Consider Tier 3 upgrade if stakes increase</x:t>
  </x:si>
  <x:si>
    <x:t xml:space="preserve">AUDIT FLAGS - FORMULA-DRIVEN SSOT (v2.3)</x:t>
  </x:si>
  <x:si>
    <x:t xml:space="preserve">ALL Triggered cells (B5:B17) are FORMULAS - zero typed values</x:t>
  </x:si>
  <x:si>
    <x:t xml:space="preserve">Manual override detector (B18) catches any tampering</x:t>
  </x:si>
  <x:si>
    <x:t xml:space="preserve">Flag_ID</x:t>
  </x:si>
  <x:si>
    <x:t xml:space="preserve">Triggered</x:t>
  </x:si>
  <x:si>
    <x:t xml:space="preserve">Severity</x:t>
  </x:si>
  <x:si>
    <x:t xml:space="preserve">Formula Logic</x:t>
  </x:si>
  <x:si>
    <x:t xml:space="preserve">Helper_Flag</x:t>
  </x:si>
  <x:si>
    <x:t xml:space="preserve">Helper_Sev</x:t>
  </x:si>
  <x:si>
    <x:t xml:space="preserve">CATASTROPHE_CELL_OMITTED_INVALID</x:t>
  </x:si>
  <x:si>
    <x:t xml:space="preserve">INVALID</x:t>
  </x:si>
  <x:si>
    <x:t xml:space="preserve">Any catastrophe cell in C_cat used in TRC loss computation/disclosure is omitted/excluded/not disclosed such that TRC CVaR cannot be independently recomputed (e.g., C_cat blank when TRC active).</x:t>
  </x:si>
  <x:si>
    <x:t xml:space="preserve">CANON!B13,B76</x:t>
  </x:si>
  <x:si>
    <x:t xml:space="preserve">MANDATORY_TAIL_CATEGORY_MISSING</x:t>
  </x:si>
  <x:si>
    <x:t xml:space="preserve">ESCALATE</x:t>
  </x:si>
  <x:si>
    <x:t xml:space="preserve">Missing mandatory tail category (required WTSL category not covered at p_floor).</x:t>
  </x:si>
  <x:si>
    <x:t xml:space="preserve">WTSL_Categories!B16,B17</x:t>
  </x:si>
  <x:si>
    <x:t xml:space="preserve">CONFIG_DRIFT</x:t>
  </x:si>
  <x:si>
    <x:t xml:space="preserve">Config version &lt;&gt; CANON</x:t>
  </x:si>
  <x:si>
    <x:t xml:space="preserve">Config!B2&lt;&gt;CANON!B7</x:t>
  </x:si>
  <x:si>
    <x:t xml:space="preserve">RIGHTS_COUNT_MISMATCH</x:t>
  </x:si>
  <x:si>
    <x:t xml:space="preserve">Rights count &lt;&gt; 8</x:t>
  </x:si>
  <x:si>
    <x:t xml:space="preserve">CANON!B38&lt;&gt;8</x:t>
  </x:si>
  <x:si>
    <x:t xml:space="preserve">SELECTION_INVALID</x:t>
  </x:si>
  <x:si>
    <x:t xml:space="preserve">No valid selection</x:t>
  </x:si>
  <x:si>
    <x:t xml:space="preserve">SELECTED_OPTION blank</x:t>
  </x:si>
  <x:si>
    <x:t xml:space="preserve">TRC_FALLBACK_INVOKED</x:t>
  </x:si>
  <x:si>
    <x:t xml:space="preserve">TRC failed for admissible</x:t>
  </x:si>
  <x:si>
    <x:t xml:space="preserve">A_NCRC&gt;0 AND A_ADM=0</x:t>
  </x:si>
  <x:si>
    <x:t xml:space="preserve">CANON!B67,B68</x:t>
  </x:si>
  <x:si>
    <x:t xml:space="preserve">EMERGENCY_MODE_INVOKED</x:t>
  </x:si>
  <x:si>
    <x:t xml:space="preserve">No rights-admissible options</x:t>
  </x:si>
  <x:si>
    <x:t xml:space="preserve">A_NCRC_COUNT=0</x:t>
  </x:si>
  <x:si>
    <x:t xml:space="preserve">CANON!B67</x:t>
  </x:si>
  <x:si>
    <x:t xml:space="preserve">Escalation required</x:t>
  </x:si>
  <x:si>
    <x:t xml:space="preserve">CANON!B73=YES</x:t>
  </x:si>
  <x:si>
    <x:t xml:space="preserve">CANON!B73</x:t>
  </x:si>
  <x:si>
    <x:t xml:space="preserve">SIGMA_MISSING_REQUIRED</x:t>
  </x:si>
  <x:si>
    <x:t xml:space="preserve">Uncertainty σ required for Tier 2+ but missing/invalid (method or sigma_est not declared).</x:t>
  </x:si>
  <x:si>
    <x:t xml:space="preserve">CANON!B10,B26,B137</x:t>
  </x:si>
  <x:si>
    <x:t xml:space="preserve">SUBGROUP_LIMITATION</x:t>
  </x:si>
  <x:si>
    <x:t xml:space="preserve">REVIEW</x:t>
  </x:si>
  <x:si>
    <x:t xml:space="preserve">No subgroup override entries AND no documented subgroup analysis</x:t>
  </x:si>
  <x:si>
    <x:t xml:space="preserve">Overrides=0 AND analysis_done=0</x:t>
  </x:si>
  <x:si>
    <x:t xml:space="preserve">Subgroup_Overrides!B17 + Subgroup_Analysis!B46</x:t>
  </x:si>
  <x:si>
    <x:t xml:space="preserve">NONDECISIVE_GAP_REVIEW</x:t>
  </x:si>
  <x:si>
    <x:t xml:space="preserve">RLS discrimination band indicates a non-decisive gap (Gap ≤ δ / RLS!B38 = NON-DECISIVE), requiring reviewer attention / UCI.</x:t>
  </x:si>
  <x:si>
    <x:t xml:space="preserve">CANON!B10,RLS!B38,CANON!B94</x:t>
  </x:si>
  <x:si>
    <x:t xml:space="preserve">UCI_SOURCE_UNVERIFIED</x:t>
  </x:si>
  <x:si>
    <x:t xml:space="preserve">UCI unverified (Tier 3+)</x:t>
  </x:si>
  <x:si>
    <x:t xml:space="preserve">TIER&gt;=3</x:t>
  </x:si>
  <x:si>
    <x:t xml:space="preserve">CANON!B10</x:t>
  </x:si>
  <x:si>
    <x:t xml:space="preserve">SENSITIVITY_NOT_RUN</x:t>
  </x:si>
  <x:si>
    <x:t xml:space="preserve">Sensitivity not executed</x:t>
  </x:si>
  <x:si>
    <x:t xml:space="preserve">Status=NOT PERFORMED</x:t>
  </x:si>
  <x:si>
    <x:t xml:space="preserve">Sensitivity_Analysis!B3</x:t>
  </x:si>
  <x:si>
    <x:t xml:space="preserve">MANUAL_FLAG_OVERRIDE</x:t>
  </x:si>
  <x:si>
    <x:t xml:space="preserve">Manual override detected</x:t>
  </x:si>
  <x:si>
    <x:t xml:space="preserve">Triggers if any flag trigger cell is not an explicit YES/NO (format break / potential manual overwrite).</x:t>
  </x:si>
  <x:si>
    <x:t xml:space="preserve">Self-check</x:t>
  </x:si>
  <x:si>
    <x:t xml:space="preserve">ACTIVE_FLAG_DETAILS</x:t>
  </x:si>
  <x:si>
    <x:t xml:space="preserve">COMPUTED SUMMARY (COUNTIFS formulas)</x:t>
  </x:si>
  <x:si>
    <x:t xml:space="preserve">INVALID_FLAGS_LIST</x:t>
  </x:si>
  <x:si>
    <x:t xml:space="preserve">INVALID_COUNT</x:t>
  </x:si>
  <x:si>
    <x:t xml:space="preserve">Formula</x:t>
  </x:si>
  <x:si>
    <x:t xml:space="preserve">ESCALATE_FLAGS_LIST</x:t>
  </x:si>
  <x:si>
    <x:t xml:space="preserve">ESCALATE_COUNT</x:t>
  </x:si>
  <x:si>
    <x:t xml:space="preserve">REVIEW_FLAGS_LIST</x:t>
  </x:si>
  <x:si>
    <x:t xml:space="preserve">REVIEW_COUNT</x:t>
  </x:si>
  <x:si>
    <x:t xml:space="preserve">TOTAL_ACTIVE</x:t>
  </x:si>
  <x:si>
    <x:t xml:space="preserve">SCOPE_COVERAGE_REDUCED</x:t>
  </x:si>
  <x:si>
    <x:t xml:space="preserve">Reduced-scope used without ScopeCoverage declaration</x:t>
  </x:si>
  <x:si>
    <x:t xml:space="preserve">SCOPE_COVERAGE_MODE=REDUCED AND (OmittedScopes=NONE or blank)</x:t>
  </x:si>
  <x:si>
    <x:t xml:space="preserve">CANON v9.0 fields</x:t>
  </x:si>
  <x:si>
    <x:t xml:space="preserve">SCI_BELOW_MINIMUM</x:t>
  </x:si>
  <x:si>
    <x:t xml:space="preserve">SCI below tier minimum (Tier 2: SCI≥1; Tier 3: SCI≥2)</x:t>
  </x:si>
  <x:si>
    <x:t xml:space="preserve">TIER&gt;=2 AND SCI_LEVEL &lt; tier_minimum</x:t>
  </x:si>
  <x:si>
    <x:t xml:space="preserve">CANON v9.0 SCI fields</x:t>
  </x:si>
  <x:si>
    <x:t xml:space="preserve">SCI_AT_MINIMUM_NO_UPGRADE</x:t>
  </x:si>
  <x:si>
    <x:t xml:space="preserve">SCI at tier minimum but no NextRunUpgrade action declared</x:t>
  </x:si>
  <x:si>
    <x:t xml:space="preserve">SCI=tier_min AND SCI_NEXT_RUN_UPGRADE blank</x:t>
  </x:si>
  <x:si>
    <x:t xml:space="preserve">UNCERTAINTY_NOT_DECLARED</x:t>
  </x:si>
  <x:si>
    <x:t xml:space="preserve">Tier 2+ requires uncertainty method (A/B/C) per v9.0</x:t>
  </x:si>
  <x:si>
    <x:t xml:space="preserve">TIER&gt;=2 AND UNCERTAINTY_METHOD blank</x:t>
  </x:si>
  <x:si>
    <x:t xml:space="preserve">CANON v9.0 UNCERTAINTY_METHOD</x:t>
  </x:si>
  <x:si>
    <x:t xml:space="preserve">EK_NONDEFAULT_TIER2_INVALID</x:t>
  </x:si>
  <x:si>
    <x:t xml:space="preserve">Tier 2 run uses e_k ≠ 1.00 without a charter-approved named instrument explicitly declared in the PCC.</x:t>
  </x:si>
  <x:si>
    <x:t xml:space="preserve">Tier=2 AND any nonblank e_k differs from 1.00</x:t>
  </x:si>
  <x:si>
    <x:t xml:space="preserve">Impact_Input!A7:K200</x:t>
  </x:si>
  <x:si>
    <x:t xml:space="preserve">UNCERTAINTY_PROVENANCE_MISSING</x:t>
  </x:si>
  <x:si>
    <x:t xml:space="preserve">Required uncertainty method, source, cell-confidence aggregation rule, or calibration table is missing or incomplete for active cells.</x:t>
  </x:si>
  <x:si>
    <x:t xml:space="preserve">Tier 2+ and uncertainty provenance incomplete</x:t>
  </x:si>
  <x:si>
    <x:t xml:space="preserve">PCC!B27:B28</x:t>
  </x:si>
  <x:si>
    <x:t xml:space="preserve">UNCERTAINTY_DECISIVENESS_SENSITIVE</x:t>
  </x:si>
  <x:si>
    <x:t xml:space="preserve">Required uncertainty stress tests change whether the lead is decisive.</x:t>
  </x:si>
  <x:si>
    <x:t xml:space="preserve">Reserved for Tier 3 / extended uncertainty sensitivity surface</x:t>
  </x:si>
  <x:si>
    <x:t xml:space="preserve">No live stress-test block in worked-run workbook</x:t>
  </x:si>
  <x:si>
    <x:t xml:space="preserve">PLSS_PROMINENCE_SENSITIVE</x:t>
  </x:si>
  <x:si>
    <x:t xml:space="preserve">Valid alternative PLSS prominence constructions materially change the ranking order of selectable options or the selected option.</x:t>
  </x:si>
  <x:si>
    <x:t xml:space="preserve">Reserved for extended PLSS sensitivity surface</x:t>
  </x:si>
  <x:si>
    <x:t xml:space="preserve">No alternative prominence reruns in worked-run workbook</x:t>
  </x:si>
  <x:si>
    <x:t xml:space="preserve">CANON LINK VERIFICATION</x:t>
  </x:si>
  <x:si>
    <x:t xml:space="preserve">CANON!B80 must equal B21</x:t>
  </x:si>
  <x:si>
    <x:t xml:space="preserve">Match:</x:t>
  </x:si>
  <x:si>
    <x:t xml:space="preserve">FLAG TAXONOMY NOTE (v9.0)</x:t>
  </x:si>
  <x:si>
    <x:t xml:space="preserve">This workbook emits two kinds of flags: (1) Canon-aligned audit flags intended to correspond to RippleLogic v9.0 Appendix H.3 reviewer actions, and (2) Tool-local integrity flags that protect the calculator/PCC emitter itself. Tool-local flags are marked TOOL_LOCAL below and SHOULD NOT be interpreted as new RippleLogic normative audit taxonomy.</x:t>
  </x:si>
  <x:si>
    <x:t xml:space="preserve">Classification</x:t>
  </x:si>
  <x:si>
    <x:t xml:space="preserve">Canonical reference / mapping</x:t>
  </x:si>
  <x:si>
    <x:t xml:space="preserve">Reviewer note</x:t>
  </x:si>
  <x:si>
    <x:t xml:space="preserve">TOOL_LOCAL</x:t>
  </x:si>
  <x:si>
    <x:t xml:space="preserve">(none)</x:t>
  </x:si>
  <x:si>
    <x:t xml:space="preserve">Workbook config/version mismatch; treat as INVALID for this emitter.</x:t>
  </x:si>
  <x:si>
    <x:t xml:space="preserve">Workbook sanity check; not a RippleLogic audit flag.</x:t>
  </x:si>
  <x:si>
    <x:t xml:space="preserve">No selected option; tool integrity failure.</x:t>
  </x:si>
  <x:si>
    <x:t xml:space="preserve">Manual edits detected in trigger cells; invalidate run output.</x:t>
  </x:si>
  <x:si>
    <x:t xml:space="preserve">Maps to: REVIEW (underdetermined)</x:t>
  </x:si>
  <x:si>
    <x:t xml:space="preserve">Indicates discrimination band / non-decisive gap; triggers reviewer attention.</x:t>
  </x:si>
  <x:si>
    <x:t xml:space="preserve">Maps to: REVIEW (evidence)</x:t>
  </x:si>
  <x:si>
    <x:t xml:space="preserve">Source provenance for UCI/HOI inputs not documented in this workbook.</x:t>
  </x:si>
  <x:si>
    <x:t xml:space="preserve">Maps to: REVIEW (sensitivity)</x:t>
  </x:si>
  <x:si>
    <x:t xml:space="preserve">Sensitivity analysis not executed or not documented for this run.</x:t>
  </x:si>
  <x:si>
    <x:t xml:space="preserve">Maps to: REVIEW (scope)</x:t>
  </x:si>
  <x:si>
    <x:t xml:space="preserve">Scope coverage reduced; ensure disclosure in PCC.</x:t>
  </x:si>
  <x:si>
    <x:t xml:space="preserve">PROVENANCE AND COMPLIANCE CERTIFICATE (PCC)</x:t>
  </x:si>
  <x:si>
    <x:t xml:space="preserve">SECTION 1: DECISION METADATA</x:t>
  </x:si>
  <x:si>
    <x:t xml:space="preserve">Decision_ID</x:t>
  </x:si>
  <x:si>
    <x:t xml:space="preserve">ORG-2026-001</x:t>
  </x:si>
  <x:si>
    <x:t xml:space="preserve">Decision_Name</x:t>
  </x:si>
  <x:si>
    <x:t xml:space="preserve">Remote Work Policy Implementation</x:t>
  </x:si>
  <x:si>
    <x:t xml:space="preserve">2026-02-01</x:t>
  </x:si>
  <x:si>
    <x:t xml:space="preserve">Evaluator</x:t>
  </x:si>
  <x:si>
    <x:t xml:space="preserve">James McGaughran, Lead Architect, MathGov Institute</x:t>
  </x:si>
  <x:si>
    <x:t xml:space="preserve">Reviewer</x:t>
  </x:si>
  <x:si>
    <x:t xml:space="preserve">N/A (Tier 2 - independent review optional)</x:t>
  </x:si>
  <x:si>
    <x:t xml:space="preserve">Tier_Level</x:t>
  </x:si>
  <x:si>
    <x:t xml:space="preserve">2 (Core)</x:t>
  </x:si>
  <x:si>
    <x:t xml:space="preserve">Context_Type</x:t>
  </x:si>
  <x:si>
    <x:t xml:space="preserve">Sheet_Version</x:t>
  </x:si>
  <x:si>
    <x:t xml:space="preserve">Framework_Version</x:t>
  </x:si>
  <x:si>
    <x:t xml:space="preserve">SGP_Version</x:t>
  </x:si>
  <x:si>
    <x:t xml:space="preserve">SECTION 2: CONFIGURATION</x:t>
  </x:si>
  <x:si>
    <x:t xml:space="preserve">Weight_Profile</x:t>
  </x:si>
  <x:si>
    <x:t xml:space="preserve">Propagation_Mode</x:t>
  </x:si>
  <x:si>
    <x:t xml:space="preserve">Kernel_Status</x:t>
  </x:si>
  <x:si>
    <x:t xml:space="preserve">Not used</x:t>
  </x:si>
  <x:si>
    <x:t xml:space="preserve">β_saturation</x:t>
  </x:si>
  <x:si>
    <x:t xml:space="preserve">δ_discrimination</x:t>
  </x:si>
  <x:si>
    <x:t xml:space="preserve">τ_c_containment</x:t>
  </x:si>
  <x:si>
    <x:t xml:space="preserve">α_CVaR</x:t>
  </x:si>
  <x:si>
    <x:t xml:space="preserve">τ_TRC</x:t>
  </x:si>
  <x:si>
    <x:t xml:space="preserve">Uncertainty_Method</x:t>
  </x:si>
  <x:si>
    <x:t xml:space="preserve">Method C workbook profile: constant σ exemplar for all active welfare cells (degenerate calibrated profile; sigma_est).</x:t>
  </x:si>
  <x:si>
    <x:t xml:space="preserve">Sigma_AllActiveCells</x:t>
  </x:si>
  <x:si>
    <x:t xml:space="preserve">σ used for discrimination band ε/δ checks and nondecisive-gap detection (Tier 2 worked run).</x:t>
  </x:si>
  <x:si>
    <x:t xml:space="preserve">SECTION 3: RIGHTS CONFIGURATION</x:t>
  </x:si>
  <x:si>
    <x:t xml:space="preserve">Rights_Coverage_Version</x:t>
  </x:si>
  <x:si>
    <x:t xml:space="preserve">v9.0 Canonical</x:t>
  </x:si>
  <x:si>
    <x:t xml:space="preserve">Rights_Checked</x:t>
  </x:si>
  <x:si>
    <x:t xml:space="preserve">8 (LIFE,BODY,ECOL,LBTY,NEED,DIGN,PROC,INFO)</x:t>
  </x:si>
  <x:si>
    <x:t xml:space="preserve">Coverage_Sets_Count</x:t>
  </x:si>
  <x:si>
    <x:t xml:space="preserve">Subgroup_Policy</x:t>
  </x:si>
  <x:si>
    <x:t xml:space="preserve">Conservative subgroup fallback is active by default for negative rights-covered cells: I_rights = MAX(-1, γ_subgroup × I_prop), with explicit values in Subgroup_Overrides taking precedence where documented worst-off impacts exist.</x:t>
  </x:si>
  <x:si>
    <x:t xml:space="preserve">BaselineType_Welfare</x:t>
  </x:si>
  <x:si>
    <x:t xml:space="preserve">STATUS_QUO</x:t>
  </x:si>
  <x:si>
    <x:t xml:space="preserve">Welfare deltas are measured relative to the declared status-quo baseline (not the rights-floor reference).</x:t>
  </x:si>
  <x:si>
    <x:t xml:space="preserve">BaselineReference_Welfare</x:t>
  </x:si>
  <x:si>
    <x:t xml:space="preserve">RL v9.0 Sections 6–9 (welfare deltas) + Appendix P conventions</x:t>
  </x:si>
  <x:si>
    <x:t xml:space="preserve">Explicit declaration for auditability: welfare baseline is STATUS_QUO unless otherwise stated.</x:t>
  </x:si>
  <x:si>
    <x:t xml:space="preserve">BaselineType_Gates</x:t>
  </x:si>
  <x:si>
    <x:t xml:space="preserve">FLOOR_REFERENCE</x:t>
  </x:si>
  <x:si>
    <x:t xml:space="preserve">Rights/catastrophe gating baseline is the rights floor (not status quo).</x:t>
  </x:si>
  <x:si>
    <x:t xml:space="preserve">BaselineReference_Gates</x:t>
  </x:si>
  <x:si>
    <x:t xml:space="preserve">RL v9.0 Section 5.1A</x:t>
  </x:si>
  <x:si>
    <x:t xml:space="preserve">Gate comparisons reference θ_r (rights floors) and declared catastrophe constraints.</x:t>
  </x:si>
  <x:si>
    <x:t xml:space="preserve">SECTION 4: TRC CONFIGURATION</x:t>
  </x:si>
  <x:si>
    <x:t xml:space="preserve">C_cat_Set</x:t>
  </x:si>
  <x:si>
    <x:t xml:space="preserve">C_cat_Weights</x:t>
  </x:si>
  <x:si>
    <x:t xml:space="preserve">C_cat_Extended</x:t>
  </x:si>
  <x:si>
    <x:t xml:space="preserve">Scenario_Count</x:t>
  </x:si>
  <x:si>
    <x:t xml:space="preserve">7</x:t>
  </x:si>
  <x:si>
    <x:t xml:space="preserve">All_WTSL_Covered</x:t>
  </x:si>
  <x:si>
    <x:t xml:space="preserve">YES (5/5 mandatory)</x:t>
  </x:si>
  <x:si>
    <x:t xml:space="preserve">All_p_floors_Met</x:t>
  </x:si>
  <x:si>
    <x:t xml:space="preserve">SECTION 5: CASCADE RESULTS</x:t>
  </x:si>
  <x:si>
    <x:t xml:space="preserve">NCRC_Status_A</x:t>
  </x:si>
  <x:si>
    <x:t xml:space="preserve">NCRC_Status_B</x:t>
  </x:si>
  <x:si>
    <x:t xml:space="preserve">Emergency_Mode</x:t>
  </x:si>
  <x:si>
    <x:t xml:space="preserve">NOT INVOKED</x:t>
  </x:si>
  <x:si>
    <x:t xml:space="preserve">A_adm</x:t>
  </x:si>
  <x:si>
    <x:t xml:space="preserve">{A, B}</x:t>
  </x:si>
  <x:si>
    <x:t xml:space="preserve">TRC_Fallback</x:t>
  </x:si>
  <x:si>
    <x:t xml:space="preserve">Containment_A</x:t>
  </x:si>
  <x:si>
    <x:t xml:space="preserve">Tier 2: containment proxy display (union-score diagnostic). Tier 3+: implement full ΔUCI containment per Section 9.0.</x:t>
  </x:si>
  <x:si>
    <x:t xml:space="preserve">Containment_B</x:t>
  </x:si>
  <x:si>
    <x:t xml:space="preserve">RLS_Decisive</x:t>
  </x:si>
  <x:si>
    <x:t xml:space="preserve">SECTION 6: DECISION</x:t>
  </x:si>
  <x:si>
    <x:t xml:space="preserve">Selection_Mode</x:t>
  </x:si>
  <x:si>
    <x:t xml:space="preserve">Selection_Basis</x:t>
  </x:si>
  <x:si>
    <x:t xml:space="preserve">Recommended_Option</x:t>
  </x:si>
  <x:si>
    <x:t xml:space="preserve">CVaR_Deficit</x:t>
  </x:si>
  <x:si>
    <x:t xml:space="preserve">Confidence</x:t>
  </x:si>
  <x:si>
    <x:t xml:space="preserve">MEDIUM</x:t>
  </x:si>
  <x:si>
    <x:t xml:space="preserve">Escalation_Required</x:t>
  </x:si>
  <x:si>
    <x:t xml:space="preserve">Escalation_Path</x:t>
  </x:si>
  <x:si>
    <x:t xml:space="preserve">Admissible_Options</x:t>
  </x:si>
  <x:si>
    <x:t xml:space="preserve">Rights_Admissible</x:t>
  </x:si>
  <x:si>
    <x:t xml:space="preserve">SECTION 7: AUDIT FLAGS</x:t>
  </x:si>
  <x:si>
    <x:t xml:space="preserve">Active Flags (INVALID, canon-aligned):</x:t>
  </x:si>
  <x:si>
    <x:t xml:space="preserve">Active Flags (ESCALATE, canon-aligned):</x:t>
  </x:si>
  <x:si>
    <x:t xml:space="preserve">Active Flags (REVIEW, canon-aligned):</x:t>
  </x:si>
  <x:si>
    <x:t xml:space="preserve">Mitigation required</x:t>
  </x:si>
  <x:si>
    <x:t xml:space="preserve">Active Flag Details (including TOOL_LOCAL if any):</x:t>
  </x:si>
  <x:si>
    <x:t xml:space="preserve">NONDECISIVE_GAP_REVIEW (TOOL_LOCAL REVIEW)</x:t>
  </x:si>
  <x:si>
    <x:t xml:space="preserve">Note: REVIEW flags do not block claimability but require documentation.</x:t>
  </x:si>
  <x:si>
    <x:t xml:space="preserve">SECTION 8: FIVE-SENTENCE PUBLIC RATIONALE (5SPR)</x:t>
  </x:si>
  <x:si>
    <x:t xml:space="preserve">1. CONTEXT:</x:t>
  </x:si>
  <x:si>
    <x:t xml:space="preserve">Organization evaluating remote work policy (Option A: implement remote; Option B: retain in-office). ORG context, Tier 2.</x:t>
  </x:si>
  <x:si>
    <x:t xml:space="preserve">2. OPTIONS:</x:t>
  </x:si>
  <x:si>
    <x:t xml:space="preserve">Option A: flexibility, reduced emissions, less cohesion. Option B: team bonds, facility costs, commute burden.</x:t>
  </x:si>
  <x:si>
    <x:t xml:space="preserve">3. CONSTRAINTS:</x:t>
  </x:si>
  <x:si>
    <x:t xml:space="preserve">Both pass NCRC (8 rights) and TRC (CVaR_A=0.0219, CVaR_B=0.0315 ≤ 0.20). WTSL-AIX voluntary.</x:t>
  </x:si>
  <x:si>
    <x:t xml:space="preserve">4. SELECTION:</x:t>
  </x:si>
  <x:si>
    <x:t xml:space="preserve">Option A selected via non-decisive RLS lead (judgment call documented).</x:t>
  </x:si>
  <x:si>
    <x:t xml:space="preserve">5. MONITORING:</x:t>
  </x:si>
  <x:si>
    <x:t xml:space="preserve">NCAR quarterly. TOOL_LOCAL REVIEW flags: YES (NONDECISIVE_GAP_REVIEW). Reflect: review cohesion, retention, appeal outcomes, and drift indicators at the scheduled NCAR review date.</x:t>
  </x:si>
  <x:si>
    <x:t xml:space="preserve">Monitoring (snapshot):</x:t>
  </x:si>
  <x:si>
    <x:t xml:space="preserve">Run NCAR (Notice–Choose–Act–Reflect) monitoring on a 30–90 day cadence, review any REVIEW flags, collect outcome indicators, and record adjustments or mitigations in the PCC log.</x:t>
  </x:si>
  <x:si>
    <x:t xml:space="preserve">SECTION 9: RISK MITIGATION PLAN</x:t>
  </x:si>
  <x:si>
    <x:t xml:space="preserve">M1</x:t>
  </x:si>
  <x:si>
    <x:t xml:space="preserve">Hybrid work pandemic contingency</x:t>
  </x:si>
  <x:si>
    <x:t xml:space="preserve">Qualitative (Tier-2 exemplar: no numeric CVaR delta claimed)</x:t>
  </x:si>
  <x:si>
    <x:t xml:space="preserve">M2</x:t>
  </x:si>
  <x:si>
    <x:t xml:space="preserve">Infrastructure backup systems</x:t>
  </x:si>
  <x:si>
    <x:t xml:space="preserve">M3</x:t>
  </x:si>
  <x:si>
    <x:t xml:space="preserve">Community resilience fund</x:t>
  </x:si>
  <x:si>
    <x:t xml:space="preserve">M4</x:t>
  </x:si>
  <x:si>
    <x:t xml:space="preserve">Climate adaptation plan</x:t>
  </x:si>
  <x:si>
    <x:t xml:space="preserve">M5</x:t>
  </x:si>
  <x:si>
    <x:t xml:space="preserve">AI system audit/fallbacks</x:t>
  </x:si>
  <x:si>
    <x:t xml:space="preserve">TOTAL</x:t>
  </x:si>
  <x:si>
    <x:t xml:space="preserve">Tail-risk posture</x:t>
  </x:si>
  <x:si>
    <x:t xml:space="preserve">Audit_Flags_Active (canon-aligned unless TOOL_LOCAL; see Audit_Flags mapping note)</x:t>
  </x:si>
  <x:si>
    <x:t xml:space="preserve">SECTION 10: NCAR SCHEDULE</x:t>
  </x:si>
  <x:si>
    <x:t xml:space="preserve">Notice: Complete (this PCC)</x:t>
  </x:si>
  <x:si>
    <x:t xml:space="preserve">Choose: Complete (Option A via normal cascade)</x:t>
  </x:si>
  <x:si>
    <x:t xml:space="preserve">Option A via normal cascade</x:t>
  </x:si>
  <x:si>
    <x:t xml:space="preserve">Act: Begins upon sign-off</x:t>
  </x:si>
  <x:si>
    <x:t xml:space="preserve">2026-05-03</x:t>
  </x:si>
  <x:si>
    <x:t xml:space="preserve">Reflect: Scheduled</x:t>
  </x:si>
  <x:si>
    <x:t xml:space="preserve">SECTION 11: STEWARDSHIP COMPLIANCE (v9.0 Section 14.7, Appendix N)</x:t>
  </x:si>
  <x:si>
    <x:t xml:space="preserve">Stewardship_Profile</x:t>
  </x:si>
  <x:si>
    <x:t xml:space="preserve">N/A (Tier 2 - Stewardship profiles apply at MODE 2+ per RLAS v9.0 §8.7)</x:t>
  </x:si>
  <x:si>
    <x:t xml:space="preserve">Conditional_Stewardship_Active</x:t>
  </x:si>
  <x:si>
    <x:t xml:space="preserve">FALSE</x:t>
  </x:si>
  <x:si>
    <x:t xml:space="preserve">(Stw_req defaults FALSE for MODE 0-1; TRUE for MODE 2+ per RLAS v9.0 §8.7)</x:t>
  </x:si>
  <x:si>
    <x:t xml:space="preserve">Stewardship_Note</x:t>
  </x:si>
  <x:si>
    <x:t xml:space="preserve">This worked run involves no AI agent deployment. Stewardship requirements apply when AI agents operate at MODE 2+.</x:t>
  </x:si>
  <x:si>
    <x:t xml:space="preserve">SECTION 12: SCOPE COVERAGE (v9.0)</x:t>
  </x:si>
  <x:si>
    <x:t xml:space="preserve">ScopeCoverage.Mode</x:t>
  </x:si>
  <x:si>
    <x:t xml:space="preserve">FULL or REDUCED</x:t>
  </x:si>
  <x:si>
    <x:t xml:space="preserve">ScopeCoverage.ActiveScopes</x:t>
  </x:si>
  <x:si>
    <x:t xml:space="preserve">ScopeCoverage.OmittedScopes</x:t>
  </x:si>
  <x:si>
    <x:t xml:space="preserve">ScopeCoverage.OmissionRationale</x:t>
  </x:si>
  <x:si>
    <x:t xml:space="preserve">N/A (all scopes active)</x:t>
  </x:si>
  <x:si>
    <x:t xml:space="preserve">ScopeCoverage.BlindSpotStatement</x:t>
  </x:si>
  <x:si>
    <x:t xml:space="preserve">No known blind spots for Tier 2 ORG context. Biosphere and cosmic pathways are minimal for this decision scope.</x:t>
  </x:si>
  <x:si>
    <x:t xml:space="preserve">ScopeCoverage.EscalationTrigger</x:t>
  </x:si>
  <x:si>
    <x:t xml:space="preserve">Rerun if externalities beyond ORG scope are identified (e.g., supply chain, biosphere pathway).</x:t>
  </x:si>
  <x:si>
    <x:t xml:space="preserve">ADMISSIBILITY GUARD (v9.0 Section 2.2A):</x:t>
  </x:si>
  <x:si>
    <x:t xml:space="preserve">Reduced-scope mode SHALL NOT remove any non-maskable cells or required scope rows from NCRC, TRC, or Containment computation.</x:t>
  </x:si>
  <x:si>
    <x:t xml:space="preserve">SECTION 13: INSTANCE MAP (v9.0)</x:t>
  </x:si>
  <x:si>
    <x:t xml:space="preserve">Reference: RippleLogic v9.0 Section 2.2A + Appendix H</x:t>
  </x:si>
  <x:si>
    <x:t xml:space="preserve">Tier 2: REQUIRED when mapping triggers hold; otherwise recommended</x:t>
  </x:si>
  <x:si>
    <x:t xml:space="preserve">instance_id</x:t>
  </x:si>
  <x:si>
    <x:t xml:space="preserve">instance_label</x:t>
  </x:si>
  <x:si>
    <x:t xml:space="preserve">stakeholder_class</x:t>
  </x:si>
  <x:si>
    <x:t xml:space="preserve">role_context</x:t>
  </x:si>
  <x:si>
    <x:t xml:space="preserve">mapped_scopes</x:t>
  </x:si>
  <x:si>
    <x:t xml:space="preserve">mapping_rationale</x:t>
  </x:si>
  <x:si>
    <x:t xml:space="preserve">rights_exposure</x:t>
  </x:si>
  <x:si>
    <x:t xml:space="preserve">redundancy_method</x:t>
  </x:si>
  <x:si>
    <x:t xml:space="preserve">INST-01</x:t>
  </x:si>
  <x:si>
    <x:t xml:space="preserve">Office employees (current)</x:t>
  </x:si>
  <x:si>
    <x:t xml:space="preserve">Individual</x:t>
  </x:si>
  <x:si>
    <x:t xml:space="preserve">Employee, direct impact</x:t>
  </x:si>
  <x:si>
    <x:t xml:space="preserve">U1, U3</x:t>
  </x:si>
  <x:si>
    <x:t xml:space="preserve">Primary affected class; Self + Community scope</x:t>
  </x:si>
  <x:si>
    <x:t xml:space="preserve">LBTY (U1-D5), DIGN (U1-D3)</x:t>
  </x:si>
  <x:si>
    <x:t xml:space="preserve">N/A</x:t>
  </x:si>
  <x:si>
    <x:t xml:space="preserve">INST-02</x:t>
  </x:si>
  <x:si>
    <x:t xml:space="preserve">Employee households</x:t>
  </x:si>
  <x:si>
    <x:t xml:space="preserve">Household</x:t>
  </x:si>
  <x:si>
    <x:t xml:space="preserve">Family members, indirect</x:t>
  </x:si>
  <x:si>
    <x:t xml:space="preserve">Household scope: income, commute, family time</x:t>
  </x:si>
  <x:si>
    <x:t xml:space="preserve">NEED (U2-D1)</x:t>
  </x:si>
  <x:si>
    <x:t xml:space="preserve">INST-03</x:t>
  </x:si>
  <x:si>
    <x:t xml:space="preserve">Team/department cohesion</x:t>
  </x:si>
  <x:si>
    <x:t xml:space="preserve">Community</x:t>
  </x:si>
  <x:si>
    <x:t xml:space="preserve">Organizational community</x:t>
  </x:si>
  <x:si>
    <x:t xml:space="preserve">Community social fabric affected</x:t>
  </x:si>
  <x:si>
    <x:t xml:space="preserve">LBTY (U3-D3), DIGN (U3-D3)</x:t>
  </x:si>
  <x:si>
    <x:t xml:space="preserve">INST-04</x:t>
  </x:si>
  <x:si>
    <x:t xml:space="preserve">Organization operations</x:t>
  </x:si>
  <x:si>
    <x:t xml:space="preserve">Organization</x:t>
  </x:si>
  <x:si>
    <x:t xml:space="preserve">Employer, decision owner</x:t>
  </x:si>
  <x:si>
    <x:t xml:space="preserve">Organizational scope: costs, productivity</x:t>
  </x:si>
  <x:si>
    <x:t xml:space="preserve">PROC (U4-D5)</x:t>
  </x:si>
  <x:si>
    <x:t xml:space="preserve">INST-05</x:t>
  </x:si>
  <x:si>
    <x:t xml:space="preserve">Local service economy</x:t>
  </x:si>
  <x:si>
    <x:t xml:space="preserve">External community, indirect</x:t>
  </x:si>
  <x:si>
    <x:t xml:space="preserve">U3, U5</x:t>
  </x:si>
  <x:si>
    <x:t xml:space="preserve">Cross-scope: local businesses affected by commuter reduction</x:t>
  </x:si>
  <x:si>
    <x:t xml:space="preserve">NEED (U3-D1)</x:t>
  </x:si>
  <x:si>
    <x:t xml:space="preserve">EMERGENT_SCALE_JUSTIFICATION</x:t>
  </x:si>
  <x:si>
    <x:t xml:space="preserve">BRIDGE NOTE (v9.0 Section 5.2):</x:t>
  </x:si>
  <x:si>
    <x:t xml:space="preserve">InstanceMap specifies who is represented (stakeholders-in-context). Impact instances k∈𝓘(u,d,a) specify how impacts occur (pathways) within a Scope×Dimension cell. These are distinct objects and MUST NOT be conflated.</x:t>
  </x:si>
  <x:si>
    <x:t xml:space="preserve">SECTION 14: STAKEHOLDER COVERAGE INDEX (v9.0)</x:t>
  </x:si>
  <x:si>
    <x:t xml:space="preserve">Reference: RippleLogic v9.0 Section 5.0.1</x:t>
  </x:si>
  <x:si>
    <x:t xml:space="preserve">SCI.Level</x:t>
  </x:si>
  <x:si>
    <x:t xml:space="preserve">SCI-0: None | SCI-1: Key identified | SCI-2: Structured discovery | SCI-3: Independent challenge | SCI-4: Longitudinal tracking</x:t>
  </x:si>
  <x:si>
    <x:t xml:space="preserve">SCI.Justification</x:t>
  </x:si>
  <x:si>
    <x:t xml:space="preserve">SCI.NextRunUpgrade</x:t>
  </x:si>
  <x:si>
    <x:t xml:space="preserve">REQUIRED when SCI = tier minimum (anti-theater ratchet)</x:t>
  </x:si>
  <x:si>
    <x:t xml:space="preserve">SCI.TierMinimum</x:t>
  </x:si>
  <x:si>
    <x:t xml:space="preserve">SCI.Compliant</x:t>
  </x:si>
  <x:si>
    <x:t xml:space="preserve">SECTION 15: ACTIVE CELL DEFINITION (v9.0 Section 10.3)</x:t>
  </x:si>
  <x:si>
    <x:t xml:space="preserve">Active cell = any cell (u,d) with m(u,d)=1 for RLS aggregation,</x:t>
  </x:si>
  <x:si>
    <x:t xml:space="preserve">  plus all rights-covered cells (u,d)∈C_r regardless of mask,</x:t>
  </x:si>
  <x:si>
    <x:t xml:space="preserve">  plus all catastrophe cells (u,d)∈C_cat regardless of mask,</x:t>
  </x:si>
  <x:si>
    <x:t xml:space="preserve">  plus any cells required by minimum governance coverage rules for the run.</x:t>
  </x:si>
  <x:si>
    <x:t xml:space="preserve">Uncertainty MUST be estimated for all active cells (Tier 2+ per v9.0).</x:t>
  </x:si>
  <x:si>
    <x:t xml:space="preserve">SECTION 16: REACHBASIS + PLSS DISCLOSURE (WORKED-RUN COMPANION)</x:t>
  </x:si>
  <x:si>
    <x:t xml:space="preserve">ReachBasis.Fields</x:t>
  </x:si>
  <x:si>
    <x:t xml:space="preserve">Impact_Input!O:Q expose ReachBasisType, ReachBasisDenominator, and ReachBasisEstimator for each logged impact instance.</x:t>
  </x:si>
  <x:si>
    <x:t xml:space="preserve">ReachBasis.WorkedRunNote</x:t>
  </x:si>
  <x:si>
    <x:t xml:space="preserve">Tier-2 exemplar disclosure surface; values are recorded per impact instance and interpreted under the canon’s ReachBasis rules.</x:t>
  </x:si>
  <x:si>
    <x:t xml:space="preserve">PLSS.LSS_Declaration</x:t>
  </x:si>
  <x:si>
    <x:t xml:space="preserve">PLSS.Operator_Declaration</x:t>
  </x:si>
  <x:si>
    <x:t xml:space="preserve">PLSS.ScopePosture_Declaration</x:t>
  </x:si>
  <x:si>
    <x:t xml:space="preserve">PLSS.EscalationTriggerAssessment</x:t>
  </x:si>
  <x:si>
    <x:t xml:space="preserve">PLSS.FallbackDeclaration</x:t>
  </x:si>
  <x:si>
    <x:t xml:space="preserve">Workbook_Status</x:t>
  </x:si>
  <x:si>
    <x:t xml:space="preserve">Current worked-run exemplar companion aligned to RippleLogic v9.0; useful for Tier-2 replay and audit illustration, but not a substitute for repository-level schemas and validator assets.</x:t>
  </x:si>
  <x:si>
    <x:t xml:space="preserve">SECTION 17: PROVENANCE HARDENING (v9.x+1 review pass)</x:t>
  </x:si>
  <x:si>
    <x:t xml:space="preserve">Uncertainty.ReasonCode</x:t>
  </x:si>
  <x:si>
    <x:t xml:space="preserve">SIGMA_WORKED_RUN_CONSTANT_PROFILE</x:t>
  </x:si>
  <x:si>
    <x:t xml:space="preserve">Current exemplar uses the declared workbook-wide sigma profile; alternative methods that change decisiveness must be disclosed.</x:t>
  </x:si>
  <x:si>
    <x:t xml:space="preserve">Uncertainty.SourceNote</x:t>
  </x:si>
  <x:si>
    <x:t xml:space="preserve">See PCC!B27:B28 and canon §10.3 / Appendix H</x:t>
  </x:si>
  <x:si>
    <x:t xml:space="preserve">ScenarioProbabilities.ReasonCode</x:t>
  </x:si>
  <x:si>
    <x:t xml:space="preserve">SCENARIO_PRIOR_JUDGMENT</x:t>
  </x:si>
  <x:si>
    <x:t xml:space="preserve">Per-scenario reason codes and source notes are now logged on Scenario_Impacts.</x:t>
  </x:si>
  <x:si>
    <x:t xml:space="preserve">PLSS.ProminenceReasonCode</x:t>
  </x:si>
  <x:si>
    <x:t xml:space="preserve">Per-scope reason codes and source notes are now logged on PLSS_Local_Scope.</x:t>
  </x:si>
  <x:si>
    <x:t xml:space="preserve">TRC.ExtensionProfile</x:t>
  </x:si>
  <x:si>
    <x:t xml:space="preserve">BASE_ONLY (no separate governance-lock-in extension invoked in this worked run)</x:t>
  </x:si>
  <x:si>
    <x:t xml:space="preserve">If a governance-lock-in pathway becomes material, declare an explicit extension profile in the next run.</x:t>
  </x:si>
  <x:si>
    <x:t xml:space="preserve">e_k.RegistryRule</x:t>
  </x:si>
  <x:si>
    <x:t xml:space="preserve">DEFAULT_ONLY_IN_WORKED_RUN unless PCC justifies otherwise</x:t>
  </x:si>
  <x:si>
    <x:t xml:space="preserve">Per-instance e_k reason code/default-counterfactual fields are now logged on Impact_Input.</x:t>
  </x:si>
  <x:si>
    <x:t xml:space="preserve">e_k.MaterialityCheck</x:t>
  </x:si>
  <x:si>
    <x:t xml:space="preserve">Sensitivity.MaterialParameterNote</x:t>
  </x:si>
  <x:si>
    <x:t xml:space="preserve">If non-default e_k, q_u, p(s), or uncertainty-method changes alter admissibility or selection, disclose that parameter as decision-material in the sensitivity bundle.</x:t>
  </x:si>
  <x:si>
    <x:t xml:space="preserve">SENSITIVITY ANALYSIS</x:t>
  </x:si>
  <x:si>
    <x:t xml:space="preserve">Module Status:</x:t>
  </x:si>
  <x:si>
    <x:t xml:space="preserve">PERFORMED</x:t>
  </x:si>
  <x:si>
    <x:t xml:space="preserve">Tier Requirement:</x:t>
  </x:si>
  <x:si>
    <x:t xml:space="preserve">Small sensitivity tests executed (weights + scenario probabilities).</x:t>
  </x:si>
  <x:si>
    <x:t xml:space="preserve">Audit Flag:</x:t>
  </x:si>
  <x:si>
    <x:t xml:space="preserve">PERTURBATION TESTS</x:t>
  </x:si>
  <x:si>
    <x:t xml:space="preserve">Test</x:t>
  </x:si>
  <x:si>
    <x:t xml:space="preserve">Change</x:t>
  </x:si>
  <x:si>
    <x:t xml:space="preserve">Metric</x:t>
  </x:si>
  <x:si>
    <x:t xml:space="preserve">Result</x:t>
  </x:si>
  <x:si>
    <x:t xml:space="preserve">Selection stable?</x:t>
  </x:si>
  <x:si>
    <x:t xml:space="preserve">Notes</x:t>
  </x:si>
  <x:si>
    <x:t xml:space="preserve">SENS-01</x:t>
  </x:si>
  <x:si>
    <x:t xml:space="preserve">Weights: D1 +10% (renorm)</x:t>
  </x:si>
  <x:si>
    <x:t xml:space="preserve">RLS recomputed from I_prop with perturbed dimension weights</x:t>
  </x:si>
  <x:si>
    <x:t xml:space="preserve">SENS-02</x:t>
  </x:si>
  <x:si>
    <x:t xml:space="preserve">Weights: D7 +10% (renorm)</x:t>
  </x:si>
  <x:si>
    <x:t xml:space="preserve">SENS-03</x:t>
  </x:si>
  <x:si>
    <x:t xml:space="preserve">Weights: D3&amp;D5 +10% (renorm)</x:t>
  </x:si>
  <x:si>
    <x:t xml:space="preserve">SENS-04</x:t>
  </x:si>
  <x:si>
    <x:t xml:space="preserve">Scenario p stress: worst-loss scenarios +20% (renorm)</x:t>
  </x:si>
  <x:si>
    <x:t xml:space="preserve">TRC status (A,B)</x:t>
  </x:si>
  <x:si>
    <x:t xml:space="preserve">CVaR recomputed with stressed probabilities; compare to τ_TRC</x:t>
  </x:si>
  <x:si>
    <x:t xml:space="preserve">Baseline</x:t>
  </x:si>
  <x:si>
    <x:t xml:space="preserve">Preferred</x:t>
  </x:si>
  <x:si>
    <x:t xml:space="preserve">Sensitivity analysis optional. Selection stability assumed based on margin:</x:t>
  </x:si>
  <x:si>
    <x:t xml:space="preserve">CVaR_A (0.0219) and CVaR_B (0.0315) are both &lt;&lt; τ_TRC (0.20)</x:t>
  </x:si>
  <x:si>
    <x:t xml:space="preserve">Overall sensitivity verdict</x:t>
  </x:si>
  <x:si>
    <x:t xml:space="preserve">Base v_d</x:t>
  </x:si>
  <x:si>
    <x:t xml:space="preserve">Factors (SENS-01)</x:t>
  </x:si>
  <x:si>
    <x:t xml:space="preserve">v_d* (SENS-01)</x:t>
  </x:si>
  <x:si>
    <x:t xml:space="preserve">Factors (SENS-02)</x:t>
  </x:si>
  <x:si>
    <x:t xml:space="preserve">Selection stability: computed in this exemplar via the SENS-01..SENS-04 perturbations below (see Summary).</x:t>
  </x:si>
  <x:si>
    <x:t xml:space="preserve">v_d* (SENS-02)</x:t>
  </x:si>
  <x:si>
    <x:t xml:space="preserve">Factors (SENS-03)</x:t>
  </x:si>
  <x:si>
    <x:t xml:space="preserve">4. IMPACT MAGNITUDE PERTURBATION (±20%)</x:t>
  </x:si>
  <x:si>
    <x:t xml:space="preserve">v_d* (SENS-03)</x:t>
  </x:si>
  <x:si>
    <x:t xml:space="preserve">Key instances: I03 (flexibility), I01 (isolation)</x:t>
  </x:si>
  <x:si>
    <x:t xml:space="preserve">Additional tests: Not performed for this run</x:t>
  </x:si>
  <x:si>
    <x:t xml:space="preserve">Union w_u</x:t>
  </x:si>
  <x:si>
    <x:t xml:space="preserve">5. ROBUSTNESS CLASSIFICATION</x:t>
  </x:si>
  <x:si>
    <x:t xml:space="preserve">Weight sensitivity results</x:t>
  </x:si>
  <x:si>
    <x:t xml:space="preserve">SENS-01 Preferred</x:t>
  </x:si>
  <x:si>
    <x:t xml:space="preserve">SENS-02 Preferred</x:t>
  </x:si>
  <x:si>
    <x:t xml:space="preserve">SENS-03 Preferred</x:t>
  </x:si>
  <x:si>
    <x:t xml:space="preserve">Status note: PERFORMED for this Tier‑2 exemplar (weight sensitivity + CVaR stress checks). Tier‑3 deployments may expand the test set and increase rigor.</x:t>
  </x:si>
  <x:si>
    <x:t xml:space="preserve">p_base</x:t>
  </x:si>
  <x:si>
    <x:t xml:space="preserve">Factor_up</x:t>
  </x:si>
  <x:si>
    <x:t xml:space="preserve">p_stress_up</x:t>
  </x:si>
  <x:si>
    <x:t xml:space="preserve">Factor_down</x:t>
  </x:si>
  <x:si>
    <x:t xml:space="preserve">p_stress_down</x:t>
  </x:si>
  <x:si>
    <x:t xml:space="preserve">CVaR recompute (p stress UP)</x:t>
  </x:si>
  <x:si>
    <x:t xml:space="preserve">p_stress</x:t>
  </x:si>
  <x:si>
    <x:t xml:space="preserve">β</x:t>
  </x:si>
  <x:si>
    <x:t xml:space="preserve">CVaR_A_up</x:t>
  </x:si>
  <x:si>
    <x:t xml:space="preserve">Status_A_up</x:t>
  </x:si>
  <x:si>
    <x:t xml:space="preserve">TRC stress UP status</x:t>
  </x:si>
  <x:si>
    <x:t xml:space="preserve">TRC stress DOWN status</x:t>
  </x:si>
  <x:si>
    <x:t xml:space="preserve">CVaR recompute for Option B (p stress UP)</x:t>
  </x:si>
  <x:si>
    <x:t xml:space="preserve">CVaR_B_up</x:t>
  </x:si>
  <x:si>
    <x:t xml:space="preserve">Status_B_up</x:t>
  </x:si>
  <x:si>
    <x:t xml:space="preserve">CVaR recompute (p stress DOWN)</x:t>
  </x:si>
  <x:si>
    <x:t xml:space="preserve">CVaR_A_down</x:t>
  </x:si>
  <x:si>
    <x:t xml:space="preserve">Status_A_down</x:t>
  </x:si>
  <x:si>
    <x:t xml:space="preserve">Option B (p stress DOWN)</x:t>
  </x:si>
  <x:si>
    <x:t xml:space="preserve">CVaR_B_down</x:t>
  </x:si>
  <x:si>
    <x:t xml:space="preserve">Status_B_down</x:t>
  </x:si>
  <x:si>
    <x:t xml:space="preserve">SUBGROUP ANALYSIS - WORST-OFF DOCUMENTATION</x:t>
  </x:si>
  <x:si>
    <x:t xml:space="preserve">Binding note: Any worst-off values documented in this sheet SHALL either (a) be entered into Subgroup_Overrides for computational use, or (b) be removed from this narrative sheet if the run relies only on the conservative fallback.</x:t>
  </x:si>
  <x:si>
    <x:t xml:space="preserve">Reference: RippleLogic v9.0 Section 7.3 - Tier 2 requires subgroup enumeration</x:t>
  </x:si>
  <x:si>
    <x:t xml:space="preserve">OPTION A: NEGATIVE IMPACT CELLS</x:t>
  </x:si>
  <x:si>
    <x:t xml:space="preserve">Cell: U3-D3 (Community-Social) | Agg I_prop: -0.069</x:t>
  </x:si>
  <x:si>
    <x:t xml:space="preserve">Rights: LBTY (-0.65), DIGN (-0.55)</x:t>
  </x:si>
  <x:si>
    <x:t xml:space="preserve">Subgroup</x:t>
  </x:si>
  <x:si>
    <x:t xml:space="preserve">I_prop</x:t>
  </x:si>
  <x:si>
    <x:t xml:space="preserve">General population</x:t>
  </x:si>
  <x:si>
    <x:t xml:space="preserve">Elderly (65+)</x:t>
  </x:si>
  <x:si>
    <x:t xml:space="preserve">Higher isolation risk</x:t>
  </x:si>
  <x:si>
    <x:t xml:space="preserve">Single-person HH</x:t>
  </x:si>
  <x:si>
    <x:t xml:space="preserve">No household buffer</x:t>
  </x:si>
  <x:si>
    <x:t xml:space="preserve">New employees (&lt;1yr)</x:t>
  </x:si>
  <x:si>
    <x:t xml:space="preserve">Harder to integrate</x:t>
  </x:si>
  <x:si>
    <x:t xml:space="preserve">WORST-OFF</x:t>
  </x:si>
  <x:si>
    <x:t xml:space="preserve">New employees</x:t>
  </x:si>
  <x:si>
    <x:t xml:space="preserve">Threshold checks: LBTY -0.15 &gt; -0.65 ✓ | DIGN -0.15 &gt; -0.55 ✓</x:t>
  </x:si>
  <x:si>
    <x:t xml:space="preserve">Cell: U4-D1 (Org-Material) | Agg I_prop: -0.176</x:t>
  </x:si>
  <x:si>
    <x:t xml:space="preserve">Rights: NEED (-0.50)</x:t>
  </x:si>
  <x:si>
    <x:t xml:space="preserve">Worst-off: Facilities dept at -0.30</x:t>
  </x:si>
  <x:si>
    <x:t xml:space="preserve">Threshold: -0.30 &gt; -0.50 ✓</x:t>
  </x:si>
  <x:si>
    <x:t xml:space="preserve">Cell: U3-D1 (Community-Material) | Agg I_prop: -0.075</x:t>
  </x:si>
  <x:si>
    <x:t xml:space="preserve">Worst-off: Local restaurants at -0.20</x:t>
  </x:si>
  <x:si>
    <x:t xml:space="preserve">Threshold: -0.20 &gt; -0.50 ✓</x:t>
  </x:si>
  <x:si>
    <x:t xml:space="preserve">OPTION B: NEGATIVE IMPACT CELLS</x:t>
  </x:si>
  <x:si>
    <x:t xml:space="preserve">Cell: U1-D5 (Self-Agency) | Agg I_prop: -0.073</x:t>
  </x:si>
  <x:si>
    <x:t xml:space="preserve">Rights: LBTY, DIGN, INFO</x:t>
  </x:si>
  <x:si>
    <x:t xml:space="preserve">Worst-off: Parents w/ young children at -0.15</x:t>
  </x:si>
  <x:si>
    <x:t xml:space="preserve">All thresholds pass ✓</x:t>
  </x:si>
  <x:si>
    <x:t xml:space="preserve">Cell: U2-D1 (Household-Material) | Agg: -0.063</x:t>
  </x:si>
  <x:si>
    <x:t xml:space="preserve">Worst-off: Long commuters at -0.12 | NEED ✓</x:t>
  </x:si>
  <x:si>
    <x:t xml:space="preserve">Cell: U7-D7 (Biosphere-Environ) | Agg: -0.053</x:t>
  </x:si>
  <x:si>
    <x:t xml:space="preserve">Worst-off: Urban air quality at -0.08 | ECOL ✓</x:t>
  </x:si>
  <x:si>
    <x:t xml:space="preserve">SUMMARY</x:t>
  </x:si>
  <x:si>
    <x:t xml:space="preserve">All worst-off impacts well above thresholds</x:t>
  </x:si>
  <x:si>
    <x:t xml:space="preserve">No near-misses identified</x:t>
  </x:si>
  <x:si>
    <x:t xml:space="preserve">NCRC outcome ROBUST with subgroup analysis</x:t>
  </x:si>
  <x:si>
    <x:t xml:space="preserve">analysis_done (computed)</x:t>
  </x:si>
  <x:si>
    <x:t xml:space="preserve">SUBGROUP OVERRIDES TABLE</x:t>
  </x:si>
  <x:si>
    <x:t xml:space="preserve">Policy: Conservative Bound (γ_subgroup = 1.5)</x:t>
  </x:si>
  <x:si>
    <x:t xml:space="preserve">I_rights = max(-1, γ × I_prop) when no override</x:t>
  </x:si>
  <x:si>
    <x:t xml:space="preserve">Applies only for NCRC, not RLS</x:t>
  </x:si>
  <x:si>
    <x:t xml:space="preserve">γ_subgroup:</x:t>
  </x:si>
  <x:si>
    <x:t xml:space="preserve">OVERRIDE DATA TABLE</x:t>
  </x:si>
  <x:si>
    <x:t xml:space="preserve">Override_ID</x:t>
  </x:si>
  <x:si>
    <x:t xml:space="preserve">Option</x:t>
  </x:si>
  <x:si>
    <x:t xml:space="preserve">Rights_Cell</x:t>
  </x:si>
  <x:si>
    <x:t xml:space="preserve">Worst_Off_Impact</x:t>
  </x:si>
  <x:si>
    <x:t xml:space="preserve">Override_Key</x:t>
  </x:si>
  <x:si>
    <x:t xml:space="preserve">COMPUTED STATUS</x:t>
  </x:si>
  <x:si>
    <x:t xml:space="preserve">Data range:</x:t>
  </x:si>
  <x:si>
    <x:t xml:space="preserve">F11:F100</x:t>
  </x:si>
  <x:si>
    <x:t xml:space="preserve">Entry formula:</x:t>
  </x:si>
  <x:si>
    <x:t xml:space="preserve">Valid entries:</x:t>
  </x:si>
  <x:si>
    <x:t xml:space="preserve">OVERRIDES_TABLE_EMPTY:</x:t>
  </x:si>
  <x:si>
    <x:t xml:space="preserve">SUBGROUP_LIMITATION (Audit_Flags):</x:t>
  </x:si>
  <x:si>
    <x:t xml:space="preserve">MITIGATION (Tier 2)</x:t>
  </x:si>
  <x:si>
    <x:t xml:space="preserve">• Conservative bound applied by default when no explicit override is recorded</x:t>
  </x:si>
  <x:si>
    <x:t xml:space="preserve">• REVIEW flag clears when override entries or subgroup analysis are present</x:t>
  </x:si>
  <x:si>
    <x:t xml:space="preserve">• Documented worst-off values in Subgroup_Analysis are bound through explicit override rows below</x:t>
  </x:si>
  <x:si>
    <x:t xml:space="preserve">OVR-01</x:t>
  </x:si>
  <x:si>
    <x:t xml:space="preserve">Subgroup_Analysis: new employees</x:t>
  </x:si>
  <x:si>
    <x:t xml:space="preserve">OVR-02</x:t>
  </x:si>
  <x:si>
    <x:t xml:space="preserve">Subgroup_Analysis: facilities dept</x:t>
  </x:si>
  <x:si>
    <x:t xml:space="preserve">OVR-03</x:t>
  </x:si>
  <x:si>
    <x:t xml:space="preserve">Subgroup_Analysis: local restaurants</x:t>
  </x:si>
  <x:si>
    <x:t xml:space="preserve">OVR-04</x:t>
  </x:si>
  <x:si>
    <x:t xml:space="preserve">Subgroup_Analysis: parents w/ young children</x:t>
  </x:si>
  <x:si>
    <x:t xml:space="preserve">OVR-05</x:t>
  </x:si>
  <x:si>
    <x:t xml:space="preserve">Subgroup_Analysis: long commuters</x:t>
  </x:si>
  <x:si>
    <x:t xml:space="preserve">OVR-06</x:t>
  </x:si>
  <x:si>
    <x:t xml:space="preserve">Subgroup_Analysis: urban air quality</x:t>
  </x:si>
  <x:si>
    <x:t xml:space="preserve">SGP INPUT INTERFACE</x:t>
  </x:si>
  <x:si>
    <x:t xml:space="preserve">Reference: RippleLogic v9.0 Appendix G - Sentience Gradient Protocol Interface</x:t>
  </x:si>
  <x:si>
    <x:t xml:space="preserve">SGP Version: 4.3</x:t>
  </x:si>
  <x:si>
    <x:t xml:space="preserve">HUMAN PLATEAU RULE (Non-Overridable)</x:t>
  </x:si>
  <x:si>
    <x:t xml:space="preserve">For any human person H: SG_norm(H) := 1.0</x:t>
  </x:si>
  <x:si>
    <x:t xml:space="preserve">This is independent of measurement, disability, observability</x:t>
  </x:si>
  <x:si>
    <x:t xml:space="preserve">MUST NOT be weakened by any weighting scheme</x:t>
  </x:si>
  <x:si>
    <x:t xml:space="preserve">STAKEHOLDER s_k VALUES</x:t>
  </x:si>
  <x:si>
    <x:t xml:space="preserve">Stakeholder</x:t>
  </x:si>
  <x:si>
    <x:t xml:space="preserve">Substrate</x:t>
  </x:si>
  <x:si>
    <x:t xml:space="preserve">SG_norm</x:t>
  </x:si>
  <x:si>
    <x:t xml:space="preserve">Basis</x:t>
  </x:si>
  <x:si>
    <x:t xml:space="preserve">SK01</x:t>
  </x:si>
  <x:si>
    <x:t xml:space="preserve">Employees (all)</x:t>
  </x:si>
  <x:si>
    <x:t xml:space="preserve">Human</x:t>
  </x:si>
  <x:si>
    <x:t xml:space="preserve">Plateau Rule</x:t>
  </x:si>
  <x:si>
    <x:t xml:space="preserve">SK02</x:t>
  </x:si>
  <x:si>
    <x:t xml:space="preserve">Household members</x:t>
  </x:si>
  <x:si>
    <x:t xml:space="preserve">SK03</x:t>
  </x:si>
  <x:si>
    <x:t xml:space="preserve">Community members</x:t>
  </x:si>
  <x:si>
    <x:t xml:space="preserve">SK04</x:t>
  </x:si>
  <x:si>
    <x:t xml:space="preserve">Organization staff</x:t>
  </x:si>
  <x:si>
    <x:t xml:space="preserve">SK05</x:t>
  </x:si>
  <x:si>
    <x:t xml:space="preserve">Policy stakeholders</x:t>
  </x:si>
  <x:si>
    <x:t xml:space="preserve">SK06</x:t>
  </x:si>
  <x:si>
    <x:t xml:space="preserve">Humanity (aggregate)</x:t>
  </x:si>
  <x:si>
    <x:t xml:space="preserve">BIOSPHERE NOTE</x:t>
  </x:si>
  <x:si>
    <x:t xml:space="preserve">U7 impacts = environmental integrity, not direct animal welfare</x:t>
  </x:si>
  <x:si>
    <x:t xml:space="preserve">If direct animal welfare at stake, apply SGP evidence tiers</x:t>
  </x:si>
  <x:si>
    <x:t xml:space="preserve">SGP INTEGRATION DOCUMENTATION</x:t>
  </x:si>
  <x:si>
    <x:t xml:space="preserve">Reference: RippleLogic v9.0 Appendix G</x:t>
  </x:si>
  <x:si>
    <x:t xml:space="preserve">Reference: SGP v4.3</x:t>
  </x:si>
  <x:si>
    <x:t xml:space="preserve">HUMAN PLATEAU RULE CONFIRMATION</x:t>
  </x:si>
  <x:si>
    <x:t xml:space="preserve">┌────────────────────────────────────────────────────────┐</x:t>
  </x:si>
  <x:si>
    <x:t xml:space="preserve">│ All stakeholders in this decision are human persons.  │</x:t>
  </x:si>
  <x:si>
    <x:t xml:space="preserve">│ Therefore: s_k = SG_norm(H) = 1.0 for all instances.  │</x:t>
  </x:si>
  <x:si>
    <x:t xml:space="preserve">│ The Human Plateau Rule has been applied without       │</x:t>
  </x:si>
  <x:si>
    <x:t xml:space="preserve">│ exception. No sentience multiplier has reduced any    │</x:t>
  </x:si>
  <x:si>
    <x:t xml:space="preserve">│ human stakeholder's impact weight.                    │</x:t>
  </x:si>
  <x:si>
    <x:t xml:space="preserve">└────────────────────────────────────────────────────────┘</x:t>
  </x:si>
  <x:si>
    <x:t xml:space="preserve">SGP MISINTERPRETATION GUARD COMPLIANCE</x:t>
  </x:si>
  <x:si>
    <x:t xml:space="preserve">Prohibited Inference</x:t>
  </x:si>
  <x:si>
    <x:t xml:space="preserve">Linguistic fluency → sentience</x:t>
  </x:si>
  <x:si>
    <x:t xml:space="preserve">NOT APPLIED ✓</x:t>
  </x:si>
  <x:si>
    <x:t xml:space="preserve">Self-report → sufficient evidence</x:t>
  </x:si>
  <x:si>
    <x:t xml:space="preserve">Intelligence → moral status</x:t>
  </x:si>
  <x:si>
    <x:t xml:space="preserve">Sentience → governance authority</x:t>
  </x:si>
  <x:si>
    <x:t xml:space="preserve">Precaution → attribution</x:t>
  </x:si>
  <x:si>
    <x:t xml:space="preserve">Low SGP → reduced human protections</x:t>
  </x:si>
  <x:si>
    <x:t xml:space="preserve">PROHIBITED &amp; CONFIRMED ✓</x:t>
  </x:si>
  <x:si>
    <x:t xml:space="preserve">IMPACT INSTANCE VERIFICATION</x:t>
  </x:si>
  <x:si>
    <x:t xml:space="preserve">All 14 impact instances (I01-I14) use s_k = 1.0 ✓</x:t>
  </x:si>
  <x:si>
    <x:t xml:space="preserve">ATTESTATION</x:t>
  </x:si>
  <x:si>
    <x:t xml:space="preserve">☑ Human Plateau Rule applied to all human stakeholders</x:t>
  </x:si>
  <x:si>
    <x:t xml:space="preserve">☑ No SGP output weakened NCRC protections</x:t>
  </x:si>
  <x:si>
    <x:t xml:space="preserve">☑ No sentience multiplier reduced human welfare weight</x:t>
  </x:si>
  <x:si>
    <x:t xml:space="preserve">☑ SGP Misinterpretation Guard principles followed</x:t>
  </x:si>
  <x:si>
    <x:t xml:space="preserve">Evaluator: ___________________________ Date: ___________</x:t>
  </x:si>
  <x:si>
    <x:t xml:space="preserve">RIPPLE ALIGNERS SHEET - USER GUIDE (v2.3)</x:t>
  </x:si>
  <x:si>
    <x:t xml:space="preserve">IMPORTANT DISCLOSURE</x:t>
  </x:si>
  <x:si>
    <x:t xml:space="preserve">Current workbook selection logic compares Option A vs Option B only. For three or more substantive options, extend the workbook logic or run sequential pairwise/fresh evaluations with documented rationale.</x:t>
  </x:si>
  <x:si>
    <x:t xml:space="preserve">QUICK START</x:t>
  </x:si>
  <x:si>
    <x:t xml:space="preserve">1. Config: Set tier level, context type, and Weight Profile</x:t>
  </x:si>
  <x:si>
    <x:t xml:space="preserve">2. PLSS_Local_Scope: If using local-scope mode, enter q_u values and review floor-preserving weights</x:t>
  </x:si>
  <x:si>
    <x:t xml:space="preserve">3. Impact_Input: Enter all causal pathways (μ, r, ℓ, c, t, e, s)</x:t>
  </x:si>
  <x:si>
    <x:t xml:space="preserve">4. Review I_prop: Verify computed impact matrix</x:t>
  </x:si>
  <x:si>
    <x:t xml:space="preserve">5. Check NCRC: All rights must pass (v_r = 0)</x:t>
  </x:si>
  <x:si>
    <x:t xml:space="preserve">6. Check TRC: CVaR must be ≤ τ_TRC for context</x:t>
  </x:si>
  <x:si>
    <x:t xml:space="preserve">7. If TRC fails: Follow fallback procedure (Section 8.8)</x:t>
  </x:si>
  <x:si>
    <x:t xml:space="preserve">8. Dashboard: Review final recommendation</x:t>
  </x:si>
  <x:si>
    <x:t xml:space="preserve">9. PCC: Complete all sections for audit trail, including PLSS fields, scenario-probability provenance, uncertainty method disclosure, and any non-default e_k reason codes</x:t>
  </x:si>
  <x:si>
    <x:t xml:space="preserve">SHEET INDEX</x:t>
  </x:si>
  <x:si>
    <x:t xml:space="preserve">Config</x:t>
  </x:si>
  <x:si>
    <x:t xml:space="preserve">Global settings</x:t>
  </x:si>
  <x:si>
    <x:t xml:space="preserve">70 total (U,D) pairs across all 8 rights</x:t>
  </x:si>
  <x:si>
    <x:t xml:space="preserve">Canonical values (locked)</x:t>
  </x:si>
  <x:si>
    <x:t xml:space="preserve">Rights_Coverage</x:t>
  </x:si>
  <x:si>
    <x:t xml:space="preserve">70 (U,D) pairs across all 8 rights</x:t>
  </x:si>
  <x:si>
    <x:t xml:space="preserve">C_cat</x:t>
  </x:si>
  <x:si>
    <x:t xml:space="preserve">Catastrophe cells for TRC</x:t>
  </x:si>
  <x:si>
    <x:t xml:space="preserve">WTSL_Categories</x:t>
  </x:si>
  <x:si>
    <x:t xml:space="preserve">6 mandatory tail categories</x:t>
  </x:si>
  <x:si>
    <x:t xml:space="preserve">Impact_Input</x:t>
  </x:si>
  <x:si>
    <x:t xml:space="preserve">Enter impacts here</x:t>
  </x:si>
  <x:si>
    <x:t xml:space="preserve">Scenario_Impacts</x:t>
  </x:si>
  <x:si>
    <x:t xml:space="preserve">Scenario-conditioned losses (NEW)</x:t>
  </x:si>
  <x:si>
    <x:t xml:space="preserve">Computed impact matrix</x:t>
  </x:si>
  <x:si>
    <x:t xml:space="preserve">Level 1 rights check</x:t>
  </x:si>
  <x:si>
    <x:t xml:space="preserve">Level 2 tail risk + fallback</x:t>
  </x:si>
  <x:si>
    <x:t xml:space="preserve">Level 3 structural check</x:t>
  </x:si>
  <x:si>
    <x:t xml:space="preserve">Level 4 welfare score</x:t>
  </x:si>
  <x:si>
    <x:t xml:space="preserve">UCI_HOI</x:t>
  </x:si>
  <x:si>
    <x:t xml:space="preserve">Level 5 tie-break</x:t>
  </x:si>
  <x:si>
    <x:t xml:space="preserve">Final decision</x:t>
  </x:si>
  <x:si>
    <x:t xml:space="preserve">PCC</x:t>
  </x:si>
  <x:si>
    <x:t xml:space="preserve">Compliance certificate</x:t>
  </x:si>
  <x:si>
    <x:t xml:space="preserve">Sensitivity_Analysis</x:t>
  </x:si>
  <x:si>
    <x:t xml:space="preserve">Robustness testing (NEW)</x:t>
  </x:si>
  <x:si>
    <x:t xml:space="preserve">Subgroup_Analysis</x:t>
  </x:si>
  <x:si>
    <x:t xml:space="preserve">Worst-off documentation (NEW)</x:t>
  </x:si>
  <x:si>
    <x:t xml:space="preserve">SGP_Input</x:t>
  </x:si>
  <x:si>
    <x:t xml:space="preserve">Sentience interface</x:t>
  </x:si>
  <x:si>
    <x:t xml:space="preserve">SGP_Integration</x:t>
  </x:si>
  <x:si>
    <x:t xml:space="preserve">SGP compliance (NEW)</x:t>
  </x:si>
  <x:si>
    <x:t xml:space="preserve">User_Guide</x:t>
  </x:si>
  <x:si>
    <x:t xml:space="preserve">This sheet</x:t>
  </x:si>
  <x:si>
    <x:t xml:space="preserve">Version_Control</x:t>
  </x:si>
  <x:si>
    <x:t xml:space="preserve">Version tracking (NEW)</x:t>
  </x:si>
  <x:si>
    <x:t xml:space="preserve">KEY FORMULAS</x:t>
  </x:si>
  <x:si>
    <x:t xml:space="preserve">τ(t) = MIN(1, LN(1+MAX(t, t_min)) / LN(1+T_ref))   [RippleLogic v9.0 Appendix B.1]</x:t>
  </x:si>
  <x:si>
    <x:t xml:space="preserve">Contribution = μ × r × ℓ × c × e × s × τ(t)</x:t>
  </x:si>
  <x:si>
    <x:t xml:space="preserve">v_r(a) = max(0, θ_r - min I_rights over R_r)</x:t>
  </x:si>
  <x:si>
    <x:t xml:space="preserve">L(a,s) = Σ_{c∈C_cat} ω_c × max(0, -I_prop_c)</x:t>
  </x:si>
  <x:si>
    <x:t xml:space="preserve">CVaR_α = E[L | L ≥ VaR_α]</x:t>
  </x:si>
  <x:si>
    <x:t xml:space="preserve">RLS = Σ w_u × v_d × sat(I_prop)</x:t>
  </x:si>
  <x:si>
    <x:t xml:space="preserve">v9.0 SYNC NOTES</x:t>
  </x:si>
  <x:si>
    <x:t xml:space="preserve">8. PCC Section 12: Set ScopeCoverage mode (FULL/REDUCED) and document active/omitted scopes</x:t>
  </x:si>
  <x:si>
    <x:t xml:space="preserve">9. PCC Section 13: Log stakeholder instances with InstanceMap (REQUIRED at Tier 2 when triggers hold)</x:t>
  </x:si>
  <x:si>
    <x:t xml:space="preserve">10. PCC Section 14: Declare SCI level and NextRunUpgrade if at tier minimum</x:t>
  </x:si>
  <x:si>
    <x:t xml:space="preserve">11. PCC Section 15: Review active cell definition for uncertainty coverage</x:t>
  </x:si>
  <x:si>
    <x:t xml:space="preserve">12. Audit_Flags: Check new v9.0 flags and publication sync notes</x:t>
  </x:si>
  <x:si>
    <x:t xml:space="preserve">NOTE: Tier 2 uncertainty method (A/B/C) is REQUIRED per v9.0</x:t>
  </x:si>
  <x:si>
    <x:t xml:space="preserve">NOTE: "Union Scopes" (short: Scopes) remains the canonical term; "Union(s)" is retained as a valid legacy alias</x:t>
  </x:si>
  <x:si>
    <x:t xml:space="preserve">13. Disclosure surface: Impact_Input now exposes ReachBasisType / ReachBasisDenominator / ReachBasisEstimator, and PCC Section 16 summarizes the worked-run PLSS disclosure block for audit review.</x:t>
  </x:si>
  <x:si>
    <x:t xml:space="preserve">VERSION CONTROL AND CONFORMANCE</x:t>
  </x:si>
  <x:si>
    <x:t xml:space="preserve">Modified</x:t>
  </x:si>
  <x:si>
    <x:t xml:space="preserve">2026-03-20</x:t>
  </x:si>
  <x:si>
    <x:t xml:space="preserve">v1.7.0</x:t>
  </x:si>
  <x:si>
    <x:t xml:space="preserve">2026-02-03</x:t>
  </x:si>
  <x:si>
    <x:t xml:space="preserve">SSOT_ENFORCED: Schema validation computed, SC-06 fixed, PUBLISH_READY gate includes PLACEHOLDER_COUNT</x:t>
  </x:si>
  <x:si>
    <x:t xml:space="preserve">VERSION HISTORY</x:t>
  </x:si>
  <x:si>
    <x:t xml:space="preserve">Version</x:t>
  </x:si>
  <x:si>
    <x:t xml:space="preserve">Changes</x:t>
  </x:si>
  <x:si>
    <x:t xml:space="preserve">Release-hardening sync for GitHub publication: standardized RippleLogic naming, corrected propagation/weight-profile metadata so Config and PCC distinguish Propagation = NONE from Weight Profile = PLSS_LOCAL, bound dashboard NCRC resolution and 5SPR review-flag text to live workbook logic, removed stale RLS display surfaces in favor of canonical live values, added ReachBasisType / Denominator / Estimator disclosure fields on Impact_Input, added a PLSS disclosure block to PCC, and prepared clean release-integrity packaging. Review-pass hardening added: fixed tier-reference bugs in RLS/Audit_Flags, corrected non-decisive flag logic, added scenario-probability provenance fields, PLSS q_u reason-code/source fields, per-instance e_k governance fields, and PCC provenance-hardening section.</x:t>
  </x:si>
  <x:si>
    <x:t xml:space="preserve">v2.0</x:t>
  </x:si>
  <x:si>
    <x:t xml:space="preserve">2026-03-14</x:t>
  </x:si>
  <x:si>
    <x:t xml:space="preserve">RippleLogic v9.0 + SGP v4.3 synchronization. Added PLSS_Local_Scope helper sheet, profile-driven union weights with floor-preserving residual allocation, and updated Release Notes, Config, Dashboard, User Guide, and Version Control.</x:t>
  </x:si>
  <x:si>
    <x:t xml:space="preserve">OpenAI-assisted</x:t>
  </x:si>
  <x:si>
    <x:t xml:space="preserve">v2.1</x:t>
  </x:si>
  <x:si>
    <x:t xml:space="preserve">2026-03-15</x:t>
  </x:si>
  <x:si>
    <x:t xml:space="preserve">BUG FIXES + VERSION SYNC (v2.3): (1) Replaced legacy _xludf-prefixed MINIFS, AGGREGATE, and TEXTJOIN formulas with cross-platform formulas that evaluate on current Excel and LibreOffice, including SUMPRODUCT(MIN(...)) rights-floor formulas, MATCH/INDEX worst-cell locators, and MID/IF concatenation for active flag lists. (2) Sanity_Checklist SC-01..04 Expected values changed from stale hardcoded strings to dynamic CANON/Config cross-references; SC-33 repurposed as SGP version check (SC-34); SC-IDs SC-30..33 in rows 42-45 corrected; PASS/FAIL counts extended to all 34 checks. (3) All stale v8.5.4 PATCHED descriptive refs updated to v9.0 across 11 sheets. (4) SGP version refs updated 4.2.3→4.3. (5) Release_Notes B8 corrected from Audit_Flags!B26 to Audit_Flags!J19 (active flag list). (6) Version_Control A2 fixed from stored text to formula; B2 stale value cleared.</x:t>
  </x:si>
  <x:si>
    <x:t xml:space="preserve">Claude-assisted</x:t>
  </x:si>
  <x:si>
    <x:t xml:space="preserve">v1.8.3</x:t>
  </x:si>
  <x:si>
    <x:t xml:space="preserve">2026-02-16</x:t>
  </x:si>
  <x:si>
    <x:t xml:space="preserve">v8.5.4 PATCHED RE-PIN: Framework→RippleLogic v8.5.4 PATCHED. Added SCI (Section 5.0.1), ScopeCoverage (Section 2.2A), InstanceMap (Appendix H), active cell definition (Section 10.3). New audit flags: SCOPE_COVERAGE_REDUCED (REVIEW), SCI_BELOW_MINIMUM (ESCALATE), SCI_AT_MINIMUM_NO_UPGRADE (REVIEW), UNCERTAINTY_NOT_DECLARED (INVALID). Tier 2 uncertainty REQUIRED. PCC Sections 12-15 added. All 27 sheet section refs updated to v8.5.4 PATCHED. Terminology: "Union Scopes" adopted per v8.5.4 PATCHED.</x:t>
  </x:si>
  <x:si>
    <x:t xml:space="preserve">v1.8.1-1.8.2</x:t>
  </x:si>
  <x:si>
    <x:t xml:space="preserve">2026-02-14/15</x:t>
  </x:si>
  <x:si>
    <x:t xml:space="preserve">Internal development versions (v8.1→v8.5.4 PATCHED transition); not published.</x:t>
  </x:si>
  <x:si>
    <x:t xml:space="preserve">1.6.2</x:t>
  </x:si>
  <x:si>
    <x:t xml:space="preserve">2026-02-02</x:t>
  </x:si>
  <x:si>
    <x:t xml:space="preserve">CVaR algorithm fix (D.7 compliance), type hygiene, SSOT propagation, SC-24/25 added</x:t>
  </x:si>
  <x:si>
    <x:t xml:space="preserve">1.6.3</x:t>
  </x:si>
  <x:si>
    <x:t xml:space="preserve">Schema enforcement, sanity check standardization, PCC cleanup, WTSL-AIX note, subgroup policy, sensitivity labeling, NONDECISIVE_GAP flag</x:t>
  </x:si>
  <x:si>
    <x:t xml:space="preserve">1.6.4</x:t>
  </x:si>
  <x:si>
    <x:t xml:space="preserve">FINAL: Boolean→numeric, hardened schema, audit consistency, placeholders removed, publish-ready gate</x:t>
  </x:si>
  <x:si>
    <x:t xml:space="preserve">1.6.5</x:t>
  </x:si>
  <x:si>
    <x:t xml:space="preserve">SSOT enforcement: computed flags, no hardcoded triggers, placeholder removal, TRC audit format, NCRC cleanup, conservative subgroup bound</x:t>
  </x:si>
  <x:si>
    <x:t xml:space="preserve">1.6.6</x:t>
  </x:si>
  <x:si>
    <x:t xml:space="preserve">FINAL: Formula-based triggers, computed PASS/FAIL sanity, SSOT enforcement, placeholder eradication, τ_TRC linked, TEXTJOIN flags</x:t>
  </x:si>
  <x:si>
    <x:t xml:space="preserve">1.6.7</x:t>
  </x:si>
  <x:si>
    <x:t xml:space="preserve">DEFINITIVE: All triggers/counts/gates are formulas, SSOT enforced, no typed values, manual override sentinel, Release Integrity Panel</x:t>
  </x:si>
  <x:si>
    <x:t xml:space="preserve">1.6.1</x:t>
  </x:si>
  <x:si>
    <x:t xml:space="preserve">CLAIM-READY: C_cat filled; CVaR computed; type fixes; full SSOT</x:t>
  </x:si>
  <x:si>
    <x:t xml:space="preserve">1.5.5</x:t>
  </x:si>
  <x:si>
    <x:t xml:space="preserve">2026-01-31</x:t>
  </x:si>
  <x:si>
    <x:t xml:space="preserve">Computed Dashboard; TRC sorted scenarios</x:t>
  </x:si>
  <x:si>
    <x:t xml:space="preserve">1.5.6</x:t>
  </x:si>
  <x:si>
    <x:t xml:space="preserve">Audit_Flags computed formulas</x:t>
  </x:si>
  <x:si>
    <x:t xml:space="preserve">1.5.7</x:t>
  </x:si>
  <x:si>
    <x:t xml:space="preserve">Fixed Containment/RANK formulas; full computed Audit_Flags; error-free</x:t>
  </x:si>
  <x:si>
    <x:t xml:space="preserve">1.5.8</x:t>
  </x:si>
  <x:si>
    <x:t xml:space="preserve">Claim-ready: +PROC right; fixed Containment refs; σ_est toggle; Sanity Checklist; blank=INVALID</x:t>
  </x:si>
  <x:si>
    <x:t xml:space="preserve">Mandatory Tails</x:t>
  </x:si>
  <x:si>
    <x:t xml:space="preserve">p_floor (≥0.02)</x:t>
  </x:si>
  <x:si>
    <x:t xml:space="preserve">✓ PASS</x:t>
  </x:si>
  <x:si>
    <x:t xml:space="preserve">✓ PASS (vacuous)</x:t>
  </x:si>
  <x:si>
    <x:t xml:space="preserve">✓ PASS (computed)</x:t>
  </x:si>
  <x:si>
    <x:t xml:space="preserve">✓ PASS (with 5SPR)</x:t>
  </x:si>
  <x:si>
    <x:t xml:space="preserve">Audit Flags</x:t>
  </x:si>
  <x:si>
    <x:t xml:space="preserve">✓ PASS (NONDECISIVE_GAP_REVIEW active)</x:t>
  </x:si>
  <x:si>
    <x:t xml:space="preserve">OVERALL</x:t>
  </x:si>
  <x:si>
    <x:t xml:space="preserve">✓ TIER 2 CONFORMANT</x:t>
  </x:si>
  <x:si>
    <x:t xml:space="preserve">v1.7.3</x:t>
  </x:si>
  <x:si>
    <x:t xml:space="preserve">PUBLISH_FINAL: Fixed MINIFS compatibility (140), wrapped TRC IFERROR, unified version labels, bracket policy clarified</x:t>
  </x:si>
  <x:si>
    <x:t xml:space="preserve">RC_POLISH: reconciled version ids; clarified containment as Tier-2 proxy; improved SUBGROUP_LIMITATION trigger (analysis-aware); updated σ_est policy note</x:t>
  </x:si>
  <x:si>
    <x:t xml:space="preserve">Claude+GPT-assisted</x:t>
  </x:si>
  <x:si>
    <x:t xml:space="preserve">v1.7.5</x:t>
  </x:si>
  <x:si>
    <x:t xml:space="preserve">2026-02-04</x:t>
  </x:si>
  <x:si>
    <x:t xml:space="preserve">PUBLISH_HARDEN: Fixed NCRC Min_I_rights calc (AGGREGATE), PCC Section 7 + 5SPR auto-pulls Audit_Flags, removed header version drift, clarified overrides vs audit flag, mandatory tails display links to CANON.</x:t>
  </x:si>
  <x:si>
    <x:t xml:space="preserve">GPT-assisted</x:t>
  </x:si>
  <x:si>
    <x:t xml:space="preserve">v1.7.9</x:t>
  </x:si>
  <x:si>
    <x:t xml:space="preserve">FINAL_HARDEN: aligned RLS decisiveness display with Gap/√(2σ²+ε); PCC mitigation reframed as qualitative + headroom; added TRC outputs populated sanity check; fixed placeholder check reference.</x:t>
  </x:si>
  <x:si>
    <x:t xml:space="preserve">v1.8.0</x:t>
  </x:si>
  <x:si>
    <x:t xml:space="preserve">2026-02-13</x:t>
  </x:si>
  <x:si>
    <x:t xml:space="preserve">CANON RE-PIN: Framework→RippleLogic v8.5.4 PATCHED, SGP→v4.2.3. τ(t) corrected to MIN(1,LN(1+MAX(t,t_min))/LN(1+T_ref)) with t_min=0.083 per v8.5.4 PATCHED Appendix B.1. All 27 sheet section refs updated. Stewardship block added to PCC. UCI E₁=1 verified. Config date updated.</x:t>
  </x:si>
  <x:si>
    <x:t xml:space="preserve">TIER 3 READINESS CHECKLIST</x:t>
  </x:si>
  <x:si>
    <x:t xml:space="preserve">☐ Expand scenarios to ≥20 (currently 7)</x:t>
  </x:si>
  <x:si>
    <x:t xml:space="preserve">☐ Complete sensitivity analysis</x:t>
  </x:si>
  <x:si>
    <x:t xml:space="preserve">☐ Independent reviewer sign-off</x:t>
  </x:si>
  <x:si>
    <x:t xml:space="preserve">☐ Full subgroup enumeration</x:t>
  </x:si>
  <x:si>
    <x:t xml:space="preserve">☐ Add kernel with KQS (if QUICK mode)</x:t>
  </x:si>
  <x:si>
    <x:t xml:space="preserve">☐ UCI from structural indicators</x:t>
  </x:si>
  <x:si>
    <x:t xml:space="preserve">☐ Uncertainty quantification (σ values)</x:t>
  </x:si>
  <x:si>
    <x:t xml:space="preserve">KNOWN LIMITATIONS (v1.5)</x:t>
  </x:si>
  <x:si>
    <x:t xml:space="preserve">Normal cascade complete; RLS non-decisive requires judgment call</x:t>
  </x:si>
  <x:si>
    <x:t xml:space="preserve">2. Scenario count (7) above Tier 2 min but below Tier 3</x:t>
  </x:si>
  <x:si>
    <x:t xml:space="preserve">3. UCI values = evaluator assessment, not structural indicators</x:t>
  </x:si>
  <x:si>
    <x:t xml:space="preserve">4. Sensitivity template ready but not fully populated</x:t>
  </x:si>
  <x:si>
    <x:t xml:space="preserve">5. Kernel not used (NONE mode) - appropriate for Tier 2</x:t>
  </x:si>
  <x:si>
    <x:t xml:space="preserve">PATCH_NOTE</x:t>
  </x:si>
  <x:si>
    <x:t xml:space="preserve">Added explicit PCC BaselineType_Welfare = STATUS_QUO and reference lines (restoring v1.8.4 clarity).</x:t>
  </x:si>
  <x:si>
    <x:t xml:space="preserve">PATCH_TIMESTAMP_UTC</x:t>
  </x:si>
  <x:si>
    <x:t xml:space="preserve">2026-02-20T13:28:45Z</x:t>
  </x:si>
</x:sst>
</file>

<file path=xl/styles.xml><?xml version="1.0" encoding="utf-8"?>
<x:styleSheet xmlns:x="http://schemas.openxmlformats.org/spreadsheetml/2006/main">
  <x:numFmts count="6">
    <x:numFmt numFmtId="164" formatCode="General"/>
    <x:numFmt numFmtId="165" formatCode="mm/dd/yy"/>
    <x:numFmt numFmtId="166" formatCode="0.000"/>
    <x:numFmt numFmtId="167" formatCode="0.000000"/>
    <x:numFmt numFmtId="168" formatCode="0.0000"/>
    <x:numFmt numFmtId="169" formatCode="0.00000"/>
  </x:numFmts>
  <x:fonts count="25">
    <x:font>
      <x:sz val="10"/>
      <x:name val="Arial"/>
      <x:family val="2"/>
    </x:font>
    <x:font>
      <x:sz val="10"/>
      <x:name val="Arial"/>
    </x:font>
    <x:font>
      <x:sz val="10"/>
      <x:name val="Arial"/>
    </x:font>
    <x:font>
      <x:sz val="10"/>
      <x:name val="Arial"/>
    </x:font>
    <x:font>
      <x:sz val="11"/>
      <x:color theme="1"/>
      <x:name val="Calibri"/>
      <x:family val="2"/>
    </x:font>
    <x:font>
      <x:b/>
      <x:sz val="14"/>
      <x:color theme="1"/>
      <x:name val="Calibri"/>
    </x:font>
    <x:font>
      <x:b/>
      <x:sz val="11"/>
      <x:color theme="1"/>
      <x:name val="Calibri"/>
    </x:font>
    <x:font>
      <x:b/>
      <x:sz val="14"/>
      <x:color theme="1"/>
      <x:name val="Cambria"/>
    </x:font>
    <x:font>
      <x:b/>
      <x:sz val="11"/>
      <x:color theme="1"/>
      <x:name val="Cambria"/>
    </x:font>
    <x:font>
      <x:b/>
      <x:sz val="12"/>
      <x:color theme="1"/>
      <x:name val="Arial"/>
    </x:font>
    <x:font>
      <x:sz val="10"/>
      <x:color theme="1"/>
      <x:name val="Arial"/>
    </x:font>
    <x:font>
      <x:sz val="10"/>
      <x:color theme="1"/>
      <x:name val="Arial"/>
    </x:font>
    <x:font>
      <x:i/>
      <x:sz val="10"/>
      <x:color theme="1"/>
      <x:name val="Arial"/>
    </x:font>
    <x:font>
      <x:b/>
      <x:sz val="12"/>
      <x:color theme="1"/>
      <x:name val="Cambria"/>
    </x:font>
    <x:font>
      <x:b/>
      <x:i/>
      <x:sz val="10"/>
      <x:color theme="1"/>
      <x:name val="Arial"/>
    </x:font>
    <x:font>
      <x:b/>
      <x:sz val="14"/>
      <x:color theme="1"/>
      <x:name val="Calibri"/>
    </x:font>
    <x:font>
      <x:b/>
      <x:sz val="11"/>
      <x:color theme="1"/>
      <x:name val="Calibri"/>
    </x:font>
    <x:font>
      <x:b/>
      <x:sz val="11"/>
      <x:name val="Calibri"/>
    </x:font>
    <x:font>
      <x:b/>
      <x:sz val="14"/>
      <x:color rgb="FFFFFFFF"/>
      <x:name val="Calibri"/>
    </x:font>
    <x:font>
      <x:b/>
      <x:sz val="11"/>
      <x:color theme="1"/>
      <x:name val="Cambria"/>
    </x:font>
    <x:font>
      <x:b/>
      <x:sz val="10"/>
      <x:color theme="1"/>
      <x:name val="Arial"/>
    </x:font>
    <x:font>
      <x:b/>
      <x:sz val="11"/>
      <x:color theme="1"/>
      <x:name val="Arial"/>
    </x:font>
    <x:font>
      <x:b/>
      <x:sz val="10"/>
      <x:color theme="1"/>
      <x:name val="Arial"/>
    </x:font>
    <x:font>
      <x:b/>
      <x:sz val="12"/>
      <x:name val="Arial"/>
    </x:font>
    <x:font>
      <x:sz val="10"/>
      <x:color theme="1"/>
      <x:name val="Arial"/>
      <x:family val="2"/>
    </x:font>
  </x:fonts>
  <x:fills count="20">
    <x:fill>
      <x:patternFill patternType="none"/>
    </x:fill>
    <x:fill>
      <x:patternFill patternType="gray125"/>
    </x:fill>
    <x:fill>
      <x:patternFill patternType="solid">
        <x:fgColor rgb="FFDDEBF7"/>
      </x:patternFill>
    </x:fill>
    <x:fill>
      <x:patternFill patternType="solid">
        <x:fgColor rgb="FFC6EFCE"/>
      </x:patternFill>
    </x:fill>
    <x:fill>
      <x:patternFill patternType="solid">
        <x:fgColor rgb="FFE8F0FE"/>
      </x:patternFill>
    </x:fill>
    <x:fill>
      <x:patternFill patternType="solid">
        <x:fgColor rgb="FFE2EFDA"/>
      </x:patternFill>
    </x:fill>
    <x:fill>
      <x:patternFill patternType="solid">
        <x:fgColor rgb="FF1F4E79"/>
      </x:patternFill>
    </x:fill>
    <x:fill>
      <x:patternFill patternType="solid">
        <x:fgColor rgb="FFD9D9D9"/>
      </x:patternFill>
    </x:fill>
    <x:fill>
      <x:patternFill patternType="solid">
        <x:fgColor rgb="FF1F4E78"/>
      </x:patternFill>
    </x:fill>
    <x:fill>
      <x:patternFill patternType="solid">
        <x:fgColor rgb="FFD9EAF7"/>
      </x:patternFill>
    </x:fill>
    <x:fill>
      <x:patternFill patternType="solid">
        <x:fgColor rgb="FFB4C7E7"/>
      </x:patternFill>
    </x:fill>
    <x:fill>
      <x:patternFill patternType="solid">
        <x:fgColor rgb="FF2E75B6"/>
      </x:patternFill>
    </x:fill>
    <x:fill>
      <x:patternFill patternType="solid">
        <x:fgColor rgb="FFFCE4D6"/>
      </x:patternFill>
    </x:fill>
    <x:fill>
      <x:patternFill patternType="solid">
        <x:fgColor rgb="FFFFC7CE"/>
      </x:patternFill>
    </x:fill>
    <x:fill>
      <x:patternFill patternType="solid">
        <x:fgColor rgb="FFFFEB9C"/>
      </x:patternFill>
    </x:fill>
    <x:fill>
      <x:patternFill patternType="solid">
        <x:fgColor rgb="FFFFF2CC"/>
      </x:patternFill>
    </x:fill>
    <x:fill>
      <x:patternFill patternType="solid">
        <x:fgColor rgb="FFFFCCCC"/>
      </x:patternFill>
    </x:fill>
    <x:fill>
      <x:patternFill patternType="solid">
        <x:fgColor rgb="FFFFE6CC"/>
      </x:patternFill>
    </x:fill>
    <x:fill>
      <x:patternFill patternType="solid">
        <x:fgColor rgb="FFFFFFCC"/>
      </x:patternFill>
    </x:fill>
    <x:fill>
      <x:patternFill patternType="solid">
        <x:fgColor rgb="FFDDDDDD"/>
      </x:patternFill>
    </x:fill>
  </x:fills>
  <x:borders count="3">
    <x:border diagonalUp="0" diagonalDown="0">
      <x:left/>
      <x:right/>
      <x:top/>
      <x:bottom/>
      <x:diagonal/>
    </x:border>
    <x:border diagonalUp="0" diagonalDown="0">
      <x:left style="thin">
        <x:color rgb="FFD9D9D9"/>
      </x:left>
      <x:right style="thin">
        <x:color rgb="FFD9D9D9"/>
      </x:right>
      <x:top style="thin">
        <x:color rgb="FFD9D9D9"/>
      </x:top>
      <x:bottom style="thin">
        <x:color rgb="FFD9D9D9"/>
      </x:bottom>
      <x:diagonal/>
    </x:border>
    <x:border diagonalUp="0" diagonalDown="0">
      <x:left style="thin">
        <x:color rgb="FF999999"/>
      </x:left>
      <x:right style="thin">
        <x:color rgb="FF999999"/>
      </x:right>
      <x:top style="thin">
        <x:color rgb="FF999999"/>
      </x:top>
      <x:bottom style="thin">
        <x:color rgb="FF999999"/>
      </x:bottom>
      <x:diagonal/>
    </x:border>
  </x:borders>
  <x:cellStyleXfs count="22">
    <x:xf numFmtId="164" fontId="0" fillId="0" borderId="0" applyFont="1" applyBorder="1" applyAlignment="1" applyProtection="1">
      <x:alignment horizontal="general" vertical="bottom" wrapText="0" shrinkToFit="0"/>
    </x:xf>
    <x:xf numFmtId="0" fontId="1" fillId="0" borderId="0" applyFont="1" applyBorder="0" applyAlignment="0" applyProtection="0"/>
    <x:xf numFmtId="0" fontId="1" fillId="0" borderId="0" applyFont="1" applyBorder="0" applyAlignment="0" applyProtection="0"/>
    <x:xf numFmtId="0" fontId="2" fillId="0" borderId="0" applyFont="1" applyBorder="0" applyAlignment="0" applyProtection="0"/>
    <x:xf numFmtId="0" fontId="2" fillId="0" borderId="0" applyFont="1" applyBorder="0" applyAlignment="0" applyProtection="0"/>
    <x:xf numFmtId="0" fontId="0" fillId="0" borderId="0" applyFont="1" applyBorder="0" applyAlignment="0" applyProtection="0"/>
    <x:xf numFmtId="0" fontId="0" fillId="0" borderId="0" applyFont="1" applyBorder="0" applyAlignment="0" applyProtection="0"/>
    <x:xf numFmtId="0" fontId="0" fillId="0" borderId="0" applyFont="1" applyBorder="0" applyAlignment="0" applyProtection="0"/>
    <x:xf numFmtId="0" fontId="0" fillId="0" borderId="0" applyFont="1" applyBorder="0" applyAlignment="0" applyProtection="0"/>
    <x:xf numFmtId="0" fontId="0" fillId="0" borderId="0" applyFont="1" applyBorder="0" applyAlignment="0" applyProtection="0"/>
    <x:xf numFmtId="0" fontId="0" fillId="0" borderId="0" applyFont="1" applyBorder="0" applyAlignment="0" applyProtection="0"/>
    <x:xf numFmtId="0" fontId="0" fillId="0" borderId="0" applyFont="1" applyBorder="0" applyAlignment="0" applyProtection="0"/>
    <x:xf numFmtId="0" fontId="0" fillId="0" borderId="0" applyFont="1" applyBorder="0" applyAlignment="0" applyProtection="0"/>
    <x:xf numFmtId="0" fontId="0" fillId="0" borderId="0" applyFont="1" applyBorder="0" applyAlignment="0" applyProtection="0"/>
    <x:xf numFmtId="0" fontId="0" fillId="0" borderId="0" applyFont="1" applyBorder="0" applyAlignment="0" applyProtection="0"/>
    <x:xf numFmtId="43" fontId="1" fillId="0" borderId="0" applyFont="1" applyBorder="0" applyAlignment="0" applyProtection="0"/>
    <x:xf numFmtId="41" fontId="1" fillId="0" borderId="0" applyFont="1" applyBorder="0" applyAlignment="0" applyProtection="0"/>
    <x:xf numFmtId="44" fontId="1" fillId="0" borderId="0" applyFont="1" applyBorder="0" applyAlignment="0" applyProtection="0"/>
    <x:xf numFmtId="42" fontId="1" fillId="0" borderId="0" applyFont="1" applyBorder="0" applyAlignment="0" applyProtection="0"/>
    <x:xf numFmtId="9" fontId="1" fillId="0" borderId="0" applyFont="1" applyBorder="0" applyAlignment="0" applyProtection="0"/>
    <x:xf numFmtId="164" fontId="0" fillId="0" borderId="0" applyFont="1" applyBorder="1" applyAlignment="1" applyProtection="1">
      <x:alignment horizontal="general" vertical="bottom" wrapText="0" shrinkToFit="0"/>
    </x:xf>
    <x:xf numFmtId="164" fontId="4" fillId="0" borderId="0" applyFont="1" applyBorder="1" applyAlignment="1" applyProtection="1">
      <x:alignment horizontal="general" vertical="bottom" wrapText="0" shrinkToFit="0"/>
    </x:xf>
  </x:cellStyleXfs>
  <x:cellXfs count="101">
    <x:xf numFmtId="164" fontId="0" fillId="0" borderId="0" xfId="0" applyFont="0" applyBorder="0" applyAlignment="0" applyProtection="0">
      <x:alignment horizontal="general" vertical="bottom" wrapText="0" shrinkToFit="0"/>
    </x:xf>
    <x:xf numFmtId="164" fontId="4" fillId="0" borderId="0" xfId="21" applyFont="1" applyBorder="0" applyAlignment="0" applyProtection="0">
      <x:alignment horizontal="general" vertical="bottom" wrapText="0" shrinkToFit="0"/>
    </x:xf>
    <x:xf numFmtId="164" fontId="5" fillId="0" borderId="0" xfId="21" applyFont="1" applyBorder="1" applyAlignment="1" applyProtection="0">
      <x:alignment horizontal="general" vertical="top" wrapText="1" shrinkToFit="0"/>
    </x:xf>
    <x:xf numFmtId="164" fontId="6" fillId="0" borderId="0" xfId="21" applyFont="1" applyBorder="0" applyAlignment="1" applyProtection="0">
      <x:alignment horizontal="general" vertical="top" wrapText="1" shrinkToFit="0"/>
    </x:xf>
    <x:xf numFmtId="164" fontId="4" fillId="0" borderId="0" xfId="21" applyFont="1" applyBorder="0" applyAlignment="1" applyProtection="0">
      <x:alignment horizontal="general" vertical="top" wrapText="1" shrinkToFit="0"/>
    </x:xf>
    <x:xf numFmtId="164" fontId="6" fillId="0" borderId="0" xfId="21" applyFont="1" applyBorder="0" applyAlignment="1" applyProtection="0">
      <x:alignment horizontal="left" vertical="bottom" wrapText="0" shrinkToFit="0"/>
    </x:xf>
    <x:xf numFmtId="164" fontId="4" fillId="0" borderId="0" xfId="21" applyFont="1" applyBorder="0" applyAlignment="1" applyProtection="0">
      <x:alignment horizontal="left" vertical="bottom" wrapText="1" shrinkToFit="0"/>
    </x:xf>
    <x:xf numFmtId="165" fontId="4" fillId="0" borderId="0" xfId="21" applyFont="1" applyBorder="0" applyAlignment="1" applyProtection="0">
      <x:alignment horizontal="general" vertical="top" wrapText="1" shrinkToFit="0"/>
    </x:xf>
    <x:xf numFmtId="164" fontId="7" fillId="0" borderId="0" xfId="21" applyFont="1" applyBorder="0" applyAlignment="0" applyProtection="0">
      <x:alignment horizontal="general" vertical="bottom" wrapText="0" shrinkToFit="0"/>
    </x:xf>
    <x:xf numFmtId="164" fontId="8" fillId="0" borderId="0" xfId="21" applyFont="1" applyBorder="0" applyAlignment="0" applyProtection="0">
      <x:alignment horizontal="general" vertical="bottom" wrapText="0" shrinkToFit="0"/>
    </x:xf>
    <x:xf numFmtId="166" fontId="4" fillId="0" borderId="0" xfId="21" applyFont="1" applyBorder="0" applyAlignment="0" applyProtection="0">
      <x:alignment horizontal="general" vertical="bottom" wrapText="0" shrinkToFit="0"/>
    </x:xf>
    <x:xf numFmtId="164" fontId="4" fillId="2" borderId="0" xfId="21" applyFont="1" applyBorder="0" applyAlignment="0" applyProtection="0">
      <x:alignment horizontal="general" vertical="bottom" wrapText="0" shrinkToFit="0"/>
    </x:xf>
    <x:xf numFmtId="164" fontId="6" fillId="0" borderId="0" xfId="21" applyFont="1" applyBorder="0" applyAlignment="0" applyProtection="0">
      <x:alignment horizontal="general" vertical="bottom" wrapText="0" shrinkToFit="0"/>
    </x:xf>
    <x:xf numFmtId="164" fontId="4" fillId="3" borderId="0" xfId="21" applyFont="1" applyBorder="0" applyAlignment="0" applyProtection="0">
      <x:alignment horizontal="general" vertical="bottom" wrapText="0" shrinkToFit="0"/>
    </x:xf>
    <x:xf numFmtId="164" fontId="9" fillId="4" borderId="0" xfId="21" applyFont="1" applyBorder="0" applyAlignment="0" applyProtection="0">
      <x:alignment horizontal="general" vertical="bottom" wrapText="0" shrinkToFit="0"/>
    </x:xf>
    <x:xf numFmtId="164" fontId="4" fillId="4" borderId="0" xfId="21" applyFont="1" applyBorder="0" applyAlignment="0" applyProtection="0">
      <x:alignment horizontal="general" vertical="bottom" wrapText="0" shrinkToFit="0"/>
    </x:xf>
    <x:xf numFmtId="164" fontId="10" fillId="4" borderId="0" xfId="21" applyFont="1" applyBorder="0" applyAlignment="0" applyProtection="0">
      <x:alignment horizontal="general" vertical="bottom" wrapText="0" shrinkToFit="0"/>
    </x:xf>
    <x:xf numFmtId="164" fontId="11" fillId="4" borderId="0" xfId="21" applyFont="1" applyBorder="0" applyAlignment="0" applyProtection="0">
      <x:alignment horizontal="general" vertical="bottom" wrapText="0" shrinkToFit="0"/>
    </x:xf>
    <x:xf numFmtId="164" fontId="12" fillId="4" borderId="0" xfId="21" applyFont="1" applyBorder="0" applyAlignment="0" applyProtection="0">
      <x:alignment horizontal="general" vertical="bottom" wrapText="0" shrinkToFit="0"/>
    </x:xf>
    <x:xf numFmtId="164" fontId="8" fillId="5" borderId="0" xfId="21" applyFont="1" applyBorder="0" applyAlignment="0" applyProtection="0">
      <x:alignment horizontal="general" vertical="bottom" wrapText="0" shrinkToFit="0"/>
    </x:xf>
    <x:xf numFmtId="164" fontId="4" fillId="5" borderId="0" xfId="21" applyFont="1" applyBorder="0" applyAlignment="0" applyProtection="0">
      <x:alignment horizontal="general" vertical="bottom" wrapText="0" shrinkToFit="0"/>
    </x:xf>
    <x:xf numFmtId="164" fontId="13" fillId="0" borderId="0" xfId="21" applyFont="1" applyBorder="0" applyAlignment="0" applyProtection="0">
      <x:alignment horizontal="general" vertical="bottom" wrapText="0" shrinkToFit="0"/>
    </x:xf>
    <x:xf numFmtId="164" fontId="8" fillId="6" borderId="0" xfId="21" applyFont="1" applyBorder="1" applyAlignment="1" applyProtection="0">
      <x:alignment horizontal="general" vertical="top" wrapText="1" shrinkToFit="0"/>
    </x:xf>
    <x:xf numFmtId="164" fontId="4" fillId="5" borderId="0" xfId="21" applyFont="1" applyBorder="0" applyAlignment="1" applyProtection="0">
      <x:alignment horizontal="general" vertical="top" wrapText="1" shrinkToFit="0"/>
    </x:xf>
    <x:xf numFmtId="164" fontId="8" fillId="0" borderId="0" xfId="21" applyFont="1" applyBorder="0" applyAlignment="1" applyProtection="0">
      <x:alignment horizontal="general" vertical="top" wrapText="1" shrinkToFit="0"/>
    </x:xf>
    <x:xf numFmtId="164" fontId="4" fillId="7" borderId="0" xfId="21" applyFont="1" applyBorder="0" applyAlignment="1" applyProtection="0">
      <x:alignment horizontal="general" vertical="top" wrapText="1" shrinkToFit="0"/>
    </x:xf>
    <x:xf numFmtId="164" fontId="8" fillId="6" borderId="0" xfId="21" applyFont="1" applyBorder="1" applyAlignment="0" applyProtection="0">
      <x:alignment horizontal="general" vertical="bottom" wrapText="0" shrinkToFit="0"/>
    </x:xf>
    <x:xf numFmtId="164" fontId="4" fillId="7" borderId="0" xfId="21" applyFont="1" applyBorder="0" applyAlignment="0" applyProtection="0">
      <x:alignment horizontal="general" vertical="bottom" wrapText="0" shrinkToFit="0"/>
    </x:xf>
    <x:xf numFmtId="167" fontId="4" fillId="0" borderId="0" xfId="21" applyFont="1" applyBorder="0" applyAlignment="0" applyProtection="0">
      <x:alignment horizontal="general" vertical="bottom" wrapText="0" shrinkToFit="0"/>
    </x:xf>
    <x:xf numFmtId="164" fontId="14" fillId="4" borderId="0" xfId="21" applyFont="1" applyBorder="0" applyAlignment="0" applyProtection="0">
      <x:alignment horizontal="general" vertical="bottom" wrapText="0" shrinkToFit="0"/>
    </x:xf>
    <x:xf numFmtId="164" fontId="15" fillId="8" borderId="0" xfId="21" applyFont="1" applyBorder="1" applyAlignment="0" applyProtection="0">
      <x:alignment horizontal="general" vertical="bottom" wrapText="0" shrinkToFit="0"/>
    </x:xf>
    <x:xf numFmtId="164" fontId="16" fillId="9" borderId="0" xfId="21" applyFont="1" applyBorder="0" applyAlignment="0" applyProtection="0">
      <x:alignment horizontal="general" vertical="bottom" wrapText="0" shrinkToFit="0"/>
    </x:xf>
    <x:xf numFmtId="164" fontId="16" fillId="10" borderId="1" xfId="21" applyFont="1" applyBorder="1" applyAlignment="1" applyProtection="0">
      <x:alignment horizontal="general" vertical="center" wrapText="1" shrinkToFit="0"/>
    </x:xf>
    <x:xf numFmtId="164" fontId="17" fillId="10" borderId="1" xfId="20" applyFont="1" applyBorder="1" applyAlignment="1" applyProtection="0">
      <x:alignment horizontal="general" vertical="center" wrapText="1" shrinkToFit="0"/>
    </x:xf>
    <x:xf numFmtId="164" fontId="4" fillId="0" borderId="1" xfId="21" applyFont="1" applyBorder="1" applyAlignment="1" applyProtection="0">
      <x:alignment horizontal="general" vertical="center" wrapText="1" shrinkToFit="0"/>
    </x:xf>
    <x:xf numFmtId="164" fontId="4" fillId="0" borderId="1" xfId="20" applyFont="1" applyBorder="1" applyAlignment="1" applyProtection="0">
      <x:alignment horizontal="general" vertical="center" wrapText="1" shrinkToFit="0"/>
    </x:xf>
    <x:xf numFmtId="164" fontId="16" fillId="9" borderId="1" xfId="21" applyFont="1" applyBorder="1" applyAlignment="1" applyProtection="0">
      <x:alignment horizontal="general" vertical="center" wrapText="1" shrinkToFit="0"/>
    </x:xf>
    <x:xf numFmtId="164" fontId="18" fillId="8" borderId="0" xfId="20" applyFont="1" applyBorder="1" applyAlignment="1" applyProtection="0">
      <x:alignment horizontal="left" vertical="center" wrapText="0" shrinkToFit="0"/>
    </x:xf>
    <x:xf numFmtId="164" fontId="17" fillId="9" borderId="1" xfId="20" applyFont="1" applyBorder="1" applyAlignment="1" applyProtection="0">
      <x:alignment horizontal="general" vertical="top" wrapText="1" shrinkToFit="0"/>
    </x:xf>
    <x:xf numFmtId="164" fontId="4" fillId="0" borderId="1" xfId="20" applyFont="1" applyBorder="1" applyAlignment="1" applyProtection="0">
      <x:alignment horizontal="general" vertical="top" wrapText="1" shrinkToFit="0"/>
    </x:xf>
    <x:xf numFmtId="164" fontId="8" fillId="11" borderId="0" xfId="21" applyFont="1" applyBorder="0" applyAlignment="0" applyProtection="0">
      <x:alignment horizontal="general" vertical="bottom" wrapText="0" shrinkToFit="0"/>
    </x:xf>
    <x:xf numFmtId="164" fontId="4" fillId="0" borderId="0" xfId="21" applyFont="1" applyBorder="0" applyAlignment="1" applyProtection="0">
      <x:alignment horizontal="general" vertical="center" wrapText="1" shrinkToFit="0"/>
    </x:xf>
    <x:xf numFmtId="164" fontId="0" fillId="0" borderId="0" xfId="20" applyFont="1" applyBorder="0" applyAlignment="1" applyProtection="0">
      <x:alignment horizontal="general" vertical="center" wrapText="1" shrinkToFit="0"/>
    </x:xf>
    <x:xf numFmtId="164" fontId="4" fillId="0" borderId="0" xfId="20" applyFont="1" applyBorder="0" applyAlignment="1" applyProtection="0">
      <x:alignment horizontal="general" vertical="bottom" wrapText="1" shrinkToFit="0"/>
    </x:xf>
    <x:xf numFmtId="164" fontId="8" fillId="11" borderId="0" xfId="20" applyFont="1" applyBorder="0" applyAlignment="0" applyProtection="0">
      <x:alignment horizontal="general" vertical="bottom" wrapText="0" shrinkToFit="0"/>
    </x:xf>
    <x:xf numFmtId="168" fontId="4" fillId="5" borderId="0" xfId="21" applyFont="1" applyBorder="0" applyAlignment="0" applyProtection="0">
      <x:alignment horizontal="general" vertical="bottom" wrapText="0" shrinkToFit="0"/>
    </x:xf>
    <x:xf numFmtId="168" fontId="4" fillId="5" borderId="0" xfId="20" applyFont="1" applyBorder="0" applyAlignment="0" applyProtection="0">
      <x:alignment horizontal="general" vertical="bottom" wrapText="0" shrinkToFit="0"/>
    </x:xf>
    <x:xf numFmtId="164" fontId="4" fillId="0" borderId="0" xfId="20" applyFont="1" applyBorder="0" applyAlignment="0" applyProtection="0">
      <x:alignment horizontal="general" vertical="bottom" wrapText="0" shrinkToFit="0"/>
    </x:xf>
    <x:xf numFmtId="166" fontId="4" fillId="0" borderId="0" xfId="20" applyFont="1" applyBorder="0" applyAlignment="0" applyProtection="0">
      <x:alignment horizontal="general" vertical="bottom" wrapText="0" shrinkToFit="0"/>
    </x:xf>
    <x:xf numFmtId="166" fontId="4" fillId="3" borderId="0" xfId="21" applyFont="1" applyBorder="0" applyAlignment="0" applyProtection="0">
      <x:alignment horizontal="general" vertical="bottom" wrapText="0" shrinkToFit="0"/>
    </x:xf>
    <x:xf numFmtId="166" fontId="4" fillId="12" borderId="0" xfId="21" applyFont="1" applyBorder="0" applyAlignment="0" applyProtection="0">
      <x:alignment horizontal="general" vertical="bottom" wrapText="0" shrinkToFit="0"/>
    </x:xf>
    <x:xf numFmtId="164" fontId="6" fillId="6" borderId="0" xfId="21" applyFont="1" applyBorder="1" applyAlignment="0" applyProtection="0">
      <x:alignment horizontal="general" vertical="bottom" wrapText="0" shrinkToFit="0"/>
    </x:xf>
    <x:xf numFmtId="164" fontId="0" fillId="0" borderId="0" xfId="0" applyFont="1" applyBorder="1" applyAlignment="0" applyProtection="0">
      <x:alignment horizontal="general" vertical="bottom" wrapText="0" shrinkToFit="0"/>
    </x:xf>
    <x:xf numFmtId="164" fontId="4" fillId="3" borderId="0" xfId="21" applyFont="1" applyBorder="0" applyAlignment="1" applyProtection="0">
      <x:alignment horizontal="general" vertical="center" wrapText="1" shrinkToFit="0"/>
    </x:xf>
    <x:xf numFmtId="164" fontId="4" fillId="0" borderId="0" xfId="21" applyFont="1" applyBorder="1" applyAlignment="1" applyProtection="0">
      <x:alignment horizontal="general" vertical="center" wrapText="1" shrinkToFit="0"/>
    </x:xf>
    <x:xf numFmtId="164" fontId="4" fillId="13" borderId="0" xfId="21" applyFont="1" applyBorder="0" applyAlignment="0" applyProtection="0">
      <x:alignment horizontal="general" vertical="bottom" wrapText="0" shrinkToFit="0"/>
    </x:xf>
    <x:xf numFmtId="164" fontId="4" fillId="14" borderId="0" xfId="21" applyFont="1" applyBorder="0" applyAlignment="0" applyProtection="0">
      <x:alignment horizontal="general" vertical="bottom" wrapText="0" shrinkToFit="0"/>
    </x:xf>
    <x:xf numFmtId="164" fontId="8" fillId="14" borderId="0" xfId="21" applyFont="1" applyBorder="0" applyAlignment="0" applyProtection="0">
      <x:alignment horizontal="general" vertical="bottom" wrapText="0" shrinkToFit="0"/>
    </x:xf>
    <x:xf numFmtId="164" fontId="6" fillId="14" borderId="0" xfId="21" applyFont="1" applyBorder="0" applyAlignment="0" applyProtection="0">
      <x:alignment horizontal="general" vertical="bottom" wrapText="0" shrinkToFit="0"/>
    </x:xf>
    <x:xf numFmtId="169" fontId="4" fillId="0" borderId="0" xfId="21" applyFont="1" applyBorder="0" applyAlignment="0" applyProtection="0">
      <x:alignment horizontal="general" vertical="bottom" wrapText="0" shrinkToFit="0"/>
    </x:xf>
    <x:xf numFmtId="164" fontId="4" fillId="0" borderId="0" xfId="21" applyFont="1" applyBorder="0" applyAlignment="1" applyProtection="0">
      <x:alignment horizontal="general" vertical="bottom" wrapText="1" shrinkToFit="0"/>
    </x:xf>
    <x:xf numFmtId="164" fontId="7" fillId="6" borderId="0" xfId="21" applyFont="1" applyBorder="0" applyAlignment="1" applyProtection="0">
      <x:alignment horizontal="general" vertical="top" wrapText="1" shrinkToFit="0"/>
    </x:xf>
    <x:xf numFmtId="164" fontId="19" fillId="15" borderId="0" xfId="21" applyFont="1" applyBorder="0" applyAlignment="1" applyProtection="0">
      <x:alignment horizontal="general" vertical="top" wrapText="1" shrinkToFit="0"/>
    </x:xf>
    <x:xf numFmtId="164" fontId="4" fillId="15" borderId="0" xfId="21" applyFont="1" applyBorder="0" applyAlignment="1" applyProtection="0">
      <x:alignment horizontal="general" vertical="top" wrapText="1" shrinkToFit="0"/>
    </x:xf>
    <x:xf numFmtId="164" fontId="4" fillId="14" borderId="0" xfId="21" applyFont="1" applyBorder="0" applyAlignment="1" applyProtection="0">
      <x:alignment horizontal="general" vertical="top" wrapText="1" shrinkToFit="0"/>
    </x:xf>
    <x:xf numFmtId="166" fontId="8" fillId="0" borderId="0" xfId="21" applyFont="1" applyBorder="0" applyAlignment="0" applyProtection="0">
      <x:alignment horizontal="general" vertical="bottom" wrapText="0" shrinkToFit="0"/>
    </x:xf>
    <x:xf numFmtId="164" fontId="8" fillId="13" borderId="0" xfId="21" applyFont="1" applyBorder="0" applyAlignment="1" applyProtection="0">
      <x:alignment horizontal="general" vertical="top" wrapText="1" shrinkToFit="0"/>
    </x:xf>
    <x:xf numFmtId="164" fontId="8" fillId="14" borderId="0" xfId="21" applyFont="1" applyBorder="0" applyAlignment="1" applyProtection="0">
      <x:alignment horizontal="general" vertical="top" wrapText="1" shrinkToFit="0"/>
    </x:xf>
    <x:xf numFmtId="166" fontId="4" fillId="0" borderId="0" xfId="21" applyFont="1" applyBorder="0" applyAlignment="1" applyProtection="0">
      <x:alignment horizontal="general" vertical="top" wrapText="1" shrinkToFit="0"/>
    </x:xf>
    <x:xf numFmtId="164" fontId="4" fillId="13" borderId="0" xfId="21" applyFont="1" applyBorder="0" applyAlignment="1" applyProtection="0">
      <x:alignment horizontal="general" vertical="top" wrapText="1" shrinkToFit="0"/>
    </x:xf>
    <x:xf numFmtId="164" fontId="16" fillId="0" borderId="0" xfId="21" applyFont="1" applyBorder="0" applyAlignment="1" applyProtection="0">
      <x:alignment horizontal="general" vertical="top" wrapText="1" shrinkToFit="0"/>
    </x:xf>
    <x:xf numFmtId="164" fontId="7" fillId="5" borderId="0" xfId="21" applyFont="1" applyBorder="0" applyAlignment="1" applyProtection="0">
      <x:alignment horizontal="general" vertical="top" wrapText="1" shrinkToFit="0"/>
    </x:xf>
    <x:xf numFmtId="164" fontId="6" fillId="16" borderId="0" xfId="21" applyFont="1" applyBorder="0" applyAlignment="1" applyProtection="0">
      <x:alignment horizontal="general" vertical="top" wrapText="1" shrinkToFit="0"/>
    </x:xf>
    <x:xf numFmtId="164" fontId="4" fillId="16" borderId="0" xfId="21" applyFont="1" applyBorder="0" applyAlignment="1" applyProtection="0">
      <x:alignment horizontal="general" vertical="top" wrapText="1" shrinkToFit="0"/>
    </x:xf>
    <x:xf numFmtId="164" fontId="4" fillId="17" borderId="0" xfId="21" applyFont="1" applyBorder="0" applyAlignment="1" applyProtection="0">
      <x:alignment horizontal="general" vertical="top" wrapText="1" shrinkToFit="0"/>
    </x:xf>
    <x:xf numFmtId="164" fontId="4" fillId="18" borderId="0" xfId="21" applyFont="1" applyBorder="0" applyAlignment="1" applyProtection="0">
      <x:alignment horizontal="general" vertical="top" wrapText="1" shrinkToFit="0"/>
    </x:xf>
    <x:xf numFmtId="164" fontId="4" fillId="2" borderId="0" xfId="21" applyFont="1" applyBorder="0" applyAlignment="1" applyProtection="0">
      <x:alignment horizontal="general" vertical="top" wrapText="1" shrinkToFit="0"/>
    </x:xf>
    <x:xf numFmtId="164" fontId="10" fillId="4" borderId="0" xfId="21" applyFont="1" applyBorder="0" applyAlignment="1" applyProtection="0">
      <x:alignment horizontal="general" vertical="top" wrapText="1" shrinkToFit="0"/>
    </x:xf>
    <x:xf numFmtId="164" fontId="4" fillId="0" borderId="0" xfId="21" applyFont="1" applyBorder="1" applyAlignment="1" applyProtection="0">
      <x:alignment horizontal="general" vertical="top" wrapText="1" shrinkToFit="0"/>
    </x:xf>
    <x:xf numFmtId="164" fontId="16" fillId="19" borderId="2" xfId="21" applyFont="1" applyBorder="1" applyAlignment="1" applyProtection="0">
      <x:alignment horizontal="general" vertical="top" wrapText="1" shrinkToFit="0"/>
    </x:xf>
    <x:xf numFmtId="164" fontId="4" fillId="0" borderId="2" xfId="21" applyFont="1" applyBorder="1" applyAlignment="1" applyProtection="0">
      <x:alignment horizontal="general" vertical="top" wrapText="1" shrinkToFit="0"/>
    </x:xf>
    <x:xf numFmtId="164" fontId="4" fillId="3" borderId="0" xfId="21" applyFont="1" applyBorder="0" applyAlignment="1" applyProtection="0">
      <x:alignment horizontal="general" vertical="top" wrapText="1" shrinkToFit="0"/>
    </x:xf>
    <x:xf numFmtId="164" fontId="9" fillId="4" borderId="0" xfId="21" applyFont="1" applyBorder="0" applyAlignment="1" applyProtection="0">
      <x:alignment horizontal="general" vertical="top" wrapText="1" shrinkToFit="0"/>
    </x:xf>
    <x:xf numFmtId="164" fontId="12" fillId="4" borderId="0" xfId="21" applyFont="1" applyBorder="0" applyAlignment="1" applyProtection="0">
      <x:alignment horizontal="general" vertical="top" wrapText="1" shrinkToFit="0"/>
    </x:xf>
    <x:xf numFmtId="164" fontId="11" fillId="4" borderId="0" xfId="21" applyFont="1" applyBorder="0" applyAlignment="1" applyProtection="0">
      <x:alignment horizontal="general" vertical="top" wrapText="1" shrinkToFit="0"/>
    </x:xf>
    <x:xf numFmtId="164" fontId="20" fillId="4" borderId="0" xfId="21" applyFont="1" applyBorder="0" applyAlignment="1" applyProtection="0">
      <x:alignment horizontal="general" vertical="top" wrapText="1" shrinkToFit="0"/>
    </x:xf>
    <x:xf numFmtId="164" fontId="21" fillId="4" borderId="0" xfId="21" applyFont="1" applyBorder="0" applyAlignment="1" applyProtection="0">
      <x:alignment horizontal="general" vertical="top" wrapText="1" shrinkToFit="0"/>
    </x:xf>
    <x:xf numFmtId="164" fontId="22" fillId="4" borderId="0" xfId="21" applyFont="1" applyBorder="0" applyAlignment="1" applyProtection="0">
      <x:alignment horizontal="general" vertical="top" wrapText="1" shrinkToFit="0"/>
    </x:xf>
    <x:xf numFmtId="164" fontId="14" fillId="4" borderId="0" xfId="21" applyFont="1" applyBorder="0" applyAlignment="1" applyProtection="0">
      <x:alignment horizontal="general" vertical="top" wrapText="1" shrinkToFit="0"/>
    </x:xf>
    <x:xf numFmtId="164" fontId="23" fillId="4" borderId="0" xfId="20" applyFont="1" applyBorder="1" applyAlignment="1" applyProtection="0">
      <x:alignment horizontal="left" vertical="center" wrapText="0" shrinkToFit="0"/>
    </x:xf>
    <x:xf numFmtId="164" fontId="1" fillId="4" borderId="0" xfId="20" applyFont="1" applyBorder="0" applyAlignment="1" applyProtection="0">
      <x:alignment horizontal="general" vertical="top" wrapText="1" shrinkToFit="0"/>
    </x:xf>
    <x:xf numFmtId="164" fontId="23" fillId="4" borderId="0" xfId="20" applyFont="1" applyBorder="0" applyAlignment="1" applyProtection="0">
      <x:alignment horizontal="left" vertical="center" wrapText="0" shrinkToFit="0"/>
    </x:xf>
    <x:xf numFmtId="164" fontId="6" fillId="6" borderId="0" xfId="21" applyFont="1" applyBorder="0" applyAlignment="0" applyProtection="0">
      <x:alignment horizontal="general" vertical="bottom" wrapText="0" shrinkToFit="0"/>
    </x:xf>
    <x:xf numFmtId="164" fontId="24" fillId="0" borderId="0" xfId="21" applyFont="1" applyBorder="0" applyAlignment="0" applyProtection="0">
      <x:alignment horizontal="general" vertical="bottom" wrapText="0" shrinkToFit="0"/>
    </x:xf>
    <x:xf numFmtId="164" fontId="6" fillId="0" borderId="0" xfId="21" applyFont="1" applyBorder="0" applyAlignment="1" applyProtection="0">
      <x:alignment horizontal="general" vertical="center" wrapText="1" shrinkToFit="0"/>
    </x:xf>
    <x:xf numFmtId="164" fontId="19" fillId="15" borderId="0" xfId="21" applyFont="1" applyBorder="0" applyAlignment="0" applyProtection="0">
      <x:alignment horizontal="general" vertical="bottom" wrapText="0" shrinkToFit="0"/>
    </x:xf>
    <x:xf numFmtId="164" fontId="0" fillId="0" borderId="0" xfId="20" applyFont="1" applyBorder="0" applyAlignment="1" applyProtection="0">
      <x:alignment horizontal="general" vertical="bottom" wrapText="1" shrinkToFit="0"/>
    </x:xf>
    <x:xf numFmtId="164" fontId="0" fillId="0" borderId="0" xfId="20" applyFont="0" applyBorder="0" applyAlignment="1" applyProtection="0">
      <x:alignment horizontal="general" vertical="top" wrapText="1" shrinkToFit="0"/>
    </x:xf>
    <x:xf numFmtId="164" fontId="22" fillId="0" borderId="0" xfId="21" applyFont="1" applyBorder="0" applyAlignment="1" applyProtection="0">
      <x:alignment horizontal="general" vertical="top" wrapText="1" shrinkToFit="0"/>
    </x:xf>
    <x:xf numFmtId="164" fontId="10" fillId="0" borderId="0" xfId="21" applyFont="1" applyBorder="0" applyAlignment="1" applyProtection="0">
      <x:alignment horizontal="general" vertical="top" wrapText="1" shrinkToFit="0"/>
    </x:xf>
    <x:xf numFmtId="164" fontId="8" fillId="3" borderId="0" xfId="21" applyFont="1" applyBorder="0" applyAlignment="1" applyProtection="0">
      <x:alignment horizontal="general" vertical="top" wrapText="1" shrinkToFit="0"/>
    </x:xf>
  </x:cellXfs>
  <x:cellStyles count="8">
    <x:cellStyle name="Normal" xfId="0"/>
    <x:cellStyle name="Comma" xfId="15"/>
    <x:cellStyle name="Comma [0]" xfId="16"/>
    <x:cellStyle name="Currency" xfId="17"/>
    <x:cellStyle name="Currency [0]" xfId="18"/>
    <x:cellStyle name="Percent" xfId="19"/>
    <x:cellStyle name="Normal" xfId="20"/>
    <x:cellStyle name="Normal 2" xfId="21"/>
  </x:cellStyles>
  <x:colors>
    <x:indexedColors>
      <x:rgbColor rgb="FF000000"/>
      <x:rgbColor rgb="FFFFFFFF"/>
      <x:rgbColor rgb="FFCC0000"/>
      <x:rgbColor rgb="FF00FF00"/>
      <x:rgbColor rgb="FF0000FF"/>
      <x:rgbColor rgb="FFFFF2CC"/>
      <x:rgbColor rgb="FFFF00FF"/>
      <x:rgbColor rgb="FF00FFFF"/>
      <x:rgbColor rgb="FF800000"/>
      <x:rgbColor rgb="FF008000"/>
      <x:rgbColor rgb="FF000080"/>
      <x:rgbColor rgb="FF9C6500"/>
      <x:rgbColor rgb="FF800080"/>
      <x:rgbColor rgb="FF008080"/>
      <x:rgbColor rgb="FFB4C7E7"/>
      <x:rgbColor rgb="FF808080"/>
      <x:rgbColor rgb="FFE2EFDA"/>
      <x:rgbColor rgb="FF993366"/>
      <x:rgbColor rgb="FFFFFFCC"/>
      <x:rgbColor rgb="FFD9EAF7"/>
      <x:rgbColor rgb="FF660066"/>
      <x:rgbColor rgb="FFFF8080"/>
      <x:rgbColor rgb="FF0066CC"/>
      <x:rgbColor rgb="FFD9D9D9"/>
      <x:rgbColor rgb="FF000080"/>
      <x:rgbColor rgb="FFFF00FF"/>
      <x:rgbColor rgb="FFFFE6CC"/>
      <x:rgbColor rgb="FF00FFFF"/>
      <x:rgbColor rgb="FF800080"/>
      <x:rgbColor rgb="FF800000"/>
      <x:rgbColor rgb="FF008080"/>
      <x:rgbColor rgb="FF0000FF"/>
      <x:rgbColor rgb="FF00CCFF"/>
      <x:rgbColor rgb="FFDDEBF7"/>
      <x:rgbColor rgb="FFC6EFCE"/>
      <x:rgbColor rgb="FFFFEB9C"/>
      <x:rgbColor rgb="FFDDDDDD"/>
      <x:rgbColor rgb="FFFFC7CE"/>
      <x:rgbColor rgb="FFFCE4D6"/>
      <x:rgbColor rgb="FFFFCCCC"/>
      <x:rgbColor rgb="FF2E75B6"/>
      <x:rgbColor rgb="FF33CCCC"/>
      <x:rgbColor rgb="FF99CC00"/>
      <x:rgbColor rgb="FFE8F0FE"/>
      <x:rgbColor rgb="FFFF9900"/>
      <x:rgbColor rgb="FFFF6600"/>
      <x:rgbColor rgb="FF666699"/>
      <x:rgbColor rgb="FF999999"/>
      <x:rgbColor rgb="FF1F4E78"/>
      <x:rgbColor rgb="FF339966"/>
      <x:rgbColor rgb="FF003300"/>
      <x:rgbColor rgb="FF333300"/>
      <x:rgbColor rgb="FF993300"/>
      <x:rgbColor rgb="FF993366"/>
      <x:rgbColor rgb="FF1F4E79"/>
      <x:rgbColor rgb="FF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ee8bfb6ae26405c" /><Relationship Type="http://schemas.openxmlformats.org/officeDocument/2006/relationships/theme" Target="/xl/theme/theme1.xml" Id="R0967d46552344ad5" /><Relationship Type="http://schemas.openxmlformats.org/officeDocument/2006/relationships/sharedStrings" Target="/xl/sharedStrings.xml" Id="R75f3ea41136b4f38" /><Relationship Type="http://schemas.openxmlformats.org/officeDocument/2006/relationships/worksheet" Target="/xl/worksheets/sheet1.xml" Id="R855723c569c24809" /><Relationship Type="http://schemas.openxmlformats.org/officeDocument/2006/relationships/worksheet" Target="/xl/worksheets/sheet2.xml" Id="R128a7b2ffebe4190" /><Relationship Type="http://schemas.openxmlformats.org/officeDocument/2006/relationships/worksheet" Target="/xl/worksheets/sheet3.xml" Id="Re362d244fd204a1d" /><Relationship Type="http://schemas.openxmlformats.org/officeDocument/2006/relationships/worksheet" Target="/xl/worksheets/sheet4.xml" Id="R1571e18a7d7f4302" /><Relationship Type="http://schemas.openxmlformats.org/officeDocument/2006/relationships/worksheet" Target="/xl/worksheets/sheet5.xml" Id="R7b4de99e0cfe4b12" /><Relationship Type="http://schemas.openxmlformats.org/officeDocument/2006/relationships/worksheet" Target="/xl/worksheets/sheet6.xml" Id="R007f025503e34d54" /><Relationship Type="http://schemas.openxmlformats.org/officeDocument/2006/relationships/worksheet" Target="/xl/worksheets/sheet7.xml" Id="Rf23a6812cad2440a" /><Relationship Type="http://schemas.openxmlformats.org/officeDocument/2006/relationships/worksheet" Target="/xl/worksheets/sheet8.xml" Id="R2c3638596deb4781" /><Relationship Type="http://schemas.openxmlformats.org/officeDocument/2006/relationships/worksheet" Target="/xl/worksheets/sheet9.xml" Id="Rc043c1a6fb1a4bac" /><Relationship Type="http://schemas.openxmlformats.org/officeDocument/2006/relationships/worksheet" Target="/xl/worksheets/sheet10.xml" Id="Ra39feae8d35048c9" /><Relationship Type="http://schemas.openxmlformats.org/officeDocument/2006/relationships/worksheet" Target="/xl/worksheets/sheet11.xml" Id="R84f3906288a14b74" /><Relationship Type="http://schemas.openxmlformats.org/officeDocument/2006/relationships/worksheet" Target="/xl/worksheets/sheet12.xml" Id="R8f8b37567fac4ad1" /><Relationship Type="http://schemas.openxmlformats.org/officeDocument/2006/relationships/worksheet" Target="/xl/worksheets/sheet13.xml" Id="R754994d1c7fa41e9" /><Relationship Type="http://schemas.openxmlformats.org/officeDocument/2006/relationships/worksheet" Target="/xl/worksheets/sheet14.xml" Id="R0a5002f31f4c4fb2" /><Relationship Type="http://schemas.openxmlformats.org/officeDocument/2006/relationships/worksheet" Target="/xl/worksheets/sheet15.xml" Id="R1e4d30bacfe54a19" /><Relationship Type="http://schemas.openxmlformats.org/officeDocument/2006/relationships/worksheet" Target="/xl/worksheets/sheet16.xml" Id="Rbf508f429bf244ff" /><Relationship Type="http://schemas.openxmlformats.org/officeDocument/2006/relationships/worksheet" Target="/xl/worksheets/sheet17.xml" Id="R837f882bb21649f6" /><Relationship Type="http://schemas.openxmlformats.org/officeDocument/2006/relationships/worksheet" Target="/xl/worksheets/sheet18.xml" Id="R2be4386115f947bc" /><Relationship Type="http://schemas.openxmlformats.org/officeDocument/2006/relationships/worksheet" Target="/xl/worksheets/sheet19.xml" Id="Rf271f59a54fe4be0" /><Relationship Type="http://schemas.openxmlformats.org/officeDocument/2006/relationships/worksheet" Target="/xl/worksheets/sheet20.xml" Id="R5a46f978168a4a54" /><Relationship Type="http://schemas.openxmlformats.org/officeDocument/2006/relationships/worksheet" Target="/xl/worksheets/sheet21.xml" Id="R31d17f83a588411f" /><Relationship Type="http://schemas.openxmlformats.org/officeDocument/2006/relationships/worksheet" Target="/xl/worksheets/sheet22.xml" Id="R0085da9d519943a4" /><Relationship Type="http://schemas.openxmlformats.org/officeDocument/2006/relationships/worksheet" Target="/xl/worksheets/sheet23.xml" Id="Rfaacc9a34d834ff5" /><Relationship Type="http://schemas.openxmlformats.org/officeDocument/2006/relationships/worksheet" Target="/xl/worksheets/sheet24.xml" Id="R409fb225b7364985" /><Relationship Type="http://schemas.openxmlformats.org/officeDocument/2006/relationships/worksheet" Target="/xl/worksheets/sheet25.xml" Id="Rbec239ec33554027" /><Relationship Type="http://schemas.openxmlformats.org/officeDocument/2006/relationships/worksheet" Target="/xl/worksheets/sheet26.xml" Id="R832d1109afb64f7e" /><Relationship Type="http://schemas.openxmlformats.org/officeDocument/2006/relationships/worksheet" Target="/xl/worksheets/sheet27.xml" Id="R469f2e90142c4015" /><Relationship Type="http://schemas.openxmlformats.org/officeDocument/2006/relationships/worksheet" Target="/xl/worksheets/sheet28.xml" Id="Rbcc31fd4246e4f96" 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6350">
          <a:prstDash val="solid"/>
        </a:ln>
        <a:ln w="6350">
          <a:prstDash val="solid"/>
        </a:ln>
        <a:ln w="63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4.25"/>
  <x:cols>
    <x:col min="1" max="1" width="30" style="1" hidden="0" customWidth="1"/>
    <x:col min="2" max="2" width="110" style="1" hidden="0" customWidth="1"/>
    <x:col min="3" max="4" width="15" style="1" hidden="0" customWidth="1"/>
  </x:cols>
  <x:sheetData>
    <x:row r="1" ht="18" hidden="0" customHeight="1">
      <x:c r="A1" s="2" t="s">
        <x:v>0</x:v>
      </x:c>
      <x:c r="B1" s="2"/>
      <x:c r="C1" s="2"/>
      <x:c r="D1" s="2"/>
    </x:row>
    <x:row r="2" ht="13.5" hidden="0" customHeight="1"/>
    <x:row r="3" ht="13.5" hidden="0" customHeight="1">
      <x:c r="A3" s="3" t="s">
        <x:v>1</x:v>
      </x:c>
      <x:c r="B3" s="4" t="str">
        <x:f aca="0">CANON!B7</x:f>
        <x:v>v2.3</x:v>
      </x:c>
    </x:row>
    <x:row r="4" ht="13.5" hidden="0" customHeight="1">
      <x:c r="A4" s="3" t="s">
        <x:v>2</x:v>
      </x:c>
      <x:c r="B4" s="4" t="str">
        <x:f aca="0">CANON!B5</x:f>
        <x:v>RippleLogic v9.0</x:v>
      </x:c>
    </x:row>
    <x:row r="5" ht="13.5" hidden="0" customHeight="1">
      <x:c r="A5" s="3" t="s">
        <x:v>3</x:v>
      </x:c>
      <x:c r="B5" s="4" t="n">
        <x:f aca="0">CANON!B89</x:f>
        <x:v>2</x:v>
      </x:c>
    </x:row>
    <x:row r="6" ht="13.5" hidden="0" customHeight="1">
      <x:c r="A6" s="3" t="s">
        <x:v>4</x:v>
      </x:c>
      <x:c r="B6" s="4" t="str">
        <x:f aca="0">CANON!B82</x:f>
        <x:v>WORKED_RUN</x:v>
      </x:c>
    </x:row>
    <x:row r="7" ht="13.5" hidden="0" customHeight="1">
      <x:c r="A7" s="3" t="s">
        <x:v>5</x:v>
      </x:c>
      <x:c r="B7" s="4" t="str">
        <x:f aca="0">CANON!B81</x:f>
        <x:v>YES</x:v>
      </x:c>
    </x:row>
    <x:row r="8" ht="13.5" hidden="0" customHeight="1">
      <x:c r="A8" s="3" t="s">
        <x:v>6</x:v>
      </x:c>
      <x:c r="B8" s="4" t="str">
        <x:f aca="0">CANON!B118</x:f>
        <x:v>YES</x:v>
      </x:c>
    </x:row>
    <x:row r="9" ht="13.5" hidden="0" customHeight="1">
      <x:c r="A9" s="5"/>
      <x:c r="B9" s="6"/>
    </x:row>
    <x:row r="10" ht="13.5" hidden="0" customHeight="1">
      <x:c r="A10" s="3" t="s">
        <x:v>7</x:v>
      </x:c>
      <x:c r="B10" s="4" t="str">
        <x:f aca="0">Audit_Flags!J19</x:f>
        <x:v>NONDECISIVE_GAP_REVIEW (REVIEW)</x:v>
      </x:c>
    </x:row>
    <x:row r="11" ht="13.5" hidden="0" customHeight="1">
      <x:c r="A11" s="3" t="s">
        <x:v>8</x:v>
      </x:c>
      <x:c r="B11" s="4" t="str">
        <x:f aca="0">Audit_Flags!B21&amp;" / "&amp;Audit_Flags!B22&amp;" / "&amp;Audit_Flags!B23&amp;" / "&amp;Audit_Flags!B24</x:f>
        <x:v>0 / 0 / 1 / 1</x:v>
      </x:c>
    </x:row>
    <x:row r="12" ht="13.5" hidden="0" customHeight="1"/>
    <x:row r="13" ht="28.5" hidden="0" customHeight="1">
      <x:c r="A13" s="4" t="s">
        <x:v>9</x:v>
      </x:c>
      <x:c r="B13" s="4" t="s">
        <x:v>10</x:v>
      </x:c>
    </x:row>
    <x:row r="14" ht="13.5" hidden="0" customHeight="1">
      <x:c r="A14" s="4" t="s">
        <x:v>11</x:v>
      </x:c>
      <x:c r="B14" s="4" t="s">
        <x:v>12</x:v>
      </x:c>
    </x:row>
    <x:row r="15" ht="13.5" hidden="0" customHeight="1"/>
    <x:row r="16" ht="13.5" hidden="0" customHeight="1"/>
    <x:row r="17" ht="13.5" hidden="0" customHeight="1">
      <x:c r="A17" s="4" t="s">
        <x:v>13</x:v>
      </x:c>
      <x:c r="B17" s="4" t="str">
        <x:f aca="0">IF(Audit_Flags!B23=0,"None","See Audit_Flags list above; PCC includes the rationale for any active REVIEW flags.")</x:f>
        <x:v>See Audit_Flags list above; PCC includes the rationale for any active REVIEW flags.</x:v>
      </x:c>
    </x:row>
    <x:row r="18" ht="13.5" hidden="0" customHeight="1"/>
    <x:row r="19" ht="13.5" hidden="0" customHeight="1">
      <x:c r="A19" s="4" t="s">
        <x:v>14</x:v>
      </x:c>
      <x:c r="B19" s="4" t="str">
        <x:f aca="0">Sensitivity_Analysis!B3</x:f>
        <x:v>PERFORMED</x:v>
      </x:c>
    </x:row>
    <x:row r="20" ht="13.5" hidden="0" customHeight="1">
      <x:c r="A20" s="4" t="s">
        <x:v>15</x:v>
      </x:c>
      <x:c r="B20" s="4" t="str">
        <x:f aca="0">Sensitivity_Analysis!B16</x:f>
        <x:v>STABLE</x:v>
      </x:c>
    </x:row>
    <x:row r="21" ht="13.5" hidden="0" customHeight="1"/>
    <x:row r="22" ht="13.5" hidden="0" customHeight="1">
      <x:c r="A22" s="4" t="s">
        <x:v>16</x:v>
      </x:c>
    </x:row>
    <x:row r="23" ht="14.25" hidden="0" customHeight="1">
      <x:c r="A23" s="4" t="s">
        <x:v>17</x:v>
      </x:c>
      <x:c r="B23" s="4" t="s">
        <x:v>18</x:v>
      </x:c>
    </x:row>
    <x:row r="24" ht="14.25" hidden="0" customHeight="1">
      <x:c r="A24" s="7" t="n">
        <x:f aca="1">TODAY()</x:f>
        <x:v>46104</x:v>
      </x:c>
      <x:c r="B24" s="4" t="s">
        <x:v>19</x:v>
      </x:c>
    </x:row>
  </x:sheetData>
  <x:mergeCells>
    <x:mergeCell ref="A1:D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4.25"/>
  <x:cols>
    <x:col min="1" max="1" width="25" style="1" hidden="0" customWidth="1"/>
    <x:col min="2" max="2" width="30" style="1" hidden="0" customWidth="1"/>
    <x:col min="3" max="3" width="35" style="1" hidden="0" customWidth="1"/>
  </x:cols>
  <x:sheetData>
    <x:row r="1" ht="17.25" hidden="0" customHeight="1">
      <x:c r="A1" s="8" t="s">
        <x:v>20</x:v>
      </x:c>
    </x:row>
    <x:row r="2" ht="15" hidden="0" customHeight="1">
      <x:c r="A2" s="1" t="s">
        <x:v>21</x:v>
      </x:c>
    </x:row>
    <x:row r="3" ht="13.5" hidden="0" customHeight="1"/>
    <x:row r="4" ht="15" hidden="0" customHeight="1">
      <x:c r="A4" s="9" t="s">
        <x:v>22</x:v>
      </x:c>
    </x:row>
    <x:row r="5" ht="15" hidden="0" customHeight="1">
      <x:c r="A5" s="1" t="s">
        <x:v>23</x:v>
      </x:c>
      <x:c r="B5" s="1" t="s">
        <x:v>24</x:v>
      </x:c>
    </x:row>
    <x:row r="6" ht="15" hidden="0" customHeight="1">
      <x:c r="A6" s="1" t="s">
        <x:v>25</x:v>
      </x:c>
      <x:c r="B6" s="1" t="s">
        <x:v>26</x:v>
      </x:c>
    </x:row>
    <x:row r="7" ht="15" hidden="0" customHeight="1">
      <x:c r="A7" s="1" t="s">
        <x:v>27</x:v>
      </x:c>
      <x:c r="B7" s="1" t="s">
        <x:v>28</x:v>
      </x:c>
    </x:row>
    <x:row r="8" ht="13.5" hidden="0" customHeight="1"/>
    <x:row r="9" ht="15" hidden="0" customHeight="1">
      <x:c r="A9" s="9" t="s">
        <x:v>29</x:v>
      </x:c>
    </x:row>
    <x:row r="10" ht="15" hidden="0" customHeight="1">
      <x:c r="A10" s="1" t="s">
        <x:v>30</x:v>
      </x:c>
      <x:c r="B10" s="1" t="n">
        <x:v>2</x:v>
      </x:c>
      <x:c r="C10" s="1" t="s">
        <x:v>31</x:v>
      </x:c>
    </x:row>
    <x:row r="11" ht="15" hidden="0" customHeight="1">
      <x:c r="A11" s="1" t="s">
        <x:v>32</x:v>
      </x:c>
      <x:c r="B11" s="1" t="s">
        <x:v>33</x:v>
      </x:c>
      <x:c r="C11" s="1" t="s">
        <x:v>34</x:v>
      </x:c>
    </x:row>
    <x:row r="12" ht="15" hidden="0" customHeight="1">
      <x:c r="A12" s="1" t="s">
        <x:v>35</x:v>
      </x:c>
      <x:c r="B12" s="1" t="s">
        <x:v>36</x:v>
      </x:c>
      <x:c r="C12" s="1" t="s">
        <x:v>37</x:v>
      </x:c>
    </x:row>
    <x:row r="13" ht="15" hidden="0" customHeight="1">
      <x:c r="A13" s="1" t="s">
        <x:v>38</x:v>
      </x:c>
      <x:c r="B13" s="1" t="n">
        <x:v>1</x:v>
      </x:c>
      <x:c r="C13" s="1" t="s">
        <x:v>39</x:v>
      </x:c>
    </x:row>
    <x:row r="14" ht="15" hidden="0" customHeight="1">
      <x:c r="A14" s="1" t="s">
        <x:v>40</x:v>
      </x:c>
      <x:c r="B14" s="1" t="n">
        <x:v>1</x:v>
      </x:c>
      <x:c r="C14" s="1" t="s">
        <x:v>41</x:v>
      </x:c>
    </x:row>
    <x:row r="15" ht="15" hidden="0" customHeight="1">
      <x:c r="A15" s="1" t="s">
        <x:v>42</x:v>
      </x:c>
      <x:c r="B15" s="1" t="n">
        <x:v>0</x:v>
      </x:c>
      <x:c r="C15" s="1" t="s">
        <x:v>43</x:v>
      </x:c>
    </x:row>
    <x:row r="16" ht="13.5" hidden="0" customHeight="1"/>
    <x:row r="17" ht="15" hidden="0" customHeight="1">
      <x:c r="A17" s="9" t="s">
        <x:v>44</x:v>
      </x:c>
    </x:row>
    <x:row r="18" ht="15" hidden="0" customHeight="1">
      <x:c r="A18" s="1" t="s">
        <x:v>45</x:v>
      </x:c>
      <x:c r="B18" s="1" t="n">
        <x:v>0.95</x:v>
      </x:c>
    </x:row>
    <x:row r="19" ht="15" hidden="0" customHeight="1">
      <x:c r="A19" s="1" t="s">
        <x:v>46</x:v>
      </x:c>
      <x:c r="B19" s="1">
        <x:f aca="0">1-B18</x:f>
        <x:v>0.050000000000000044</x:v>
      </x:c>
    </x:row>
    <x:row r="20" ht="15" hidden="0" customHeight="1">
      <x:c r="A20" s="1" t="s">
        <x:v>47</x:v>
      </x:c>
      <x:c r="B20" s="1" t="n">
        <x:v>2</x:v>
      </x:c>
    </x:row>
    <x:row r="21" ht="15" hidden="0" customHeight="1">
      <x:c r="A21" s="1" t="s">
        <x:v>48</x:v>
      </x:c>
      <x:c r="B21" s="1" t="n">
        <x:v>1</x:v>
      </x:c>
    </x:row>
    <x:row r="22" ht="15" hidden="0" customHeight="1">
      <x:c r="A22" s="1" t="s">
        <x:v>49</x:v>
      </x:c>
      <x:c r="B22" s="1" t="n">
        <x:v>2</x:v>
      </x:c>
    </x:row>
    <x:row r="23" ht="15" hidden="0" customHeight="1">
      <x:c r="A23" s="1" t="s">
        <x:v>50</x:v>
      </x:c>
      <x:c r="B23" s="1" t="n">
        <x:v>0.05</x:v>
      </x:c>
    </x:row>
    <x:row r="24" ht="15" hidden="0" customHeight="1">
      <x:c r="A24" s="1" t="s">
        <x:v>51</x:v>
      </x:c>
      <x:c r="B24" s="1" t="n">
        <x:v>-0.1</x:v>
      </x:c>
    </x:row>
    <x:row r="25" ht="15" hidden="0" customHeight="1">
      <x:c r="A25" s="1" t="s">
        <x:v>52</x:v>
      </x:c>
      <x:c r="B25" s="1" t="n">
        <x:v>25</x:v>
      </x:c>
    </x:row>
    <x:row r="26" ht="15" hidden="0" customHeight="1">
      <x:c r="A26" s="1" t="s">
        <x:v>53</x:v>
      </x:c>
      <x:c r="B26" s="1" t="n">
        <x:v>0.02</x:v>
      </x:c>
    </x:row>
    <x:row r="27" ht="13.5" hidden="0" customHeight="1">
      <x:c r="A27" s="1" t="s">
        <x:v>54</x:v>
      </x:c>
      <x:c r="B27" s="1" t="n">
        <x:v>0.083</x:v>
      </x:c>
      <x:c r="C27" s="1" t="s">
        <x:v>55</x:v>
      </x:c>
    </x:row>
    <x:row r="28" ht="15" hidden="0" customHeight="1">
      <x:c r="A28" s="9" t="s">
        <x:v>56</x:v>
      </x:c>
    </x:row>
    <x:row r="29" ht="15" hidden="0" customHeight="1">
      <x:c r="A29" s="1" t="s">
        <x:v>57</x:v>
      </x:c>
      <x:c r="B29" s="1" t="s">
        <x:v>58</x:v>
      </x:c>
      <x:c r="C29" s="1" t="s">
        <x:v>59</x:v>
      </x:c>
    </x:row>
    <x:row r="30" ht="15" hidden="0" customHeight="1">
      <x:c r="A30" s="1" t="s">
        <x:v>60</x:v>
      </x:c>
      <x:c r="B30" s="1" t="n">
        <x:v>1</x:v>
      </x:c>
      <x:c r="C30" s="1" t="n">
        <x:v>-0.9</x:v>
      </x:c>
    </x:row>
    <x:row r="31" ht="15" hidden="0" customHeight="1">
      <x:c r="A31" s="1" t="s">
        <x:v>61</x:v>
      </x:c>
      <x:c r="B31" s="1" t="n">
        <x:v>2</x:v>
      </x:c>
      <x:c r="C31" s="1" t="n">
        <x:v>-0.7</x:v>
      </x:c>
    </x:row>
    <x:row r="32" ht="15" hidden="0" customHeight="1">
      <x:c r="A32" s="1" t="s">
        <x:v>62</x:v>
      </x:c>
      <x:c r="B32" s="1" t="n">
        <x:v>3</x:v>
      </x:c>
      <x:c r="C32" s="1" t="n">
        <x:v>-0.65</x:v>
      </x:c>
    </x:row>
    <x:row r="33" ht="15" hidden="0" customHeight="1">
      <x:c r="A33" s="1" t="s">
        <x:v>63</x:v>
      </x:c>
      <x:c r="B33" s="1" t="n">
        <x:v>4</x:v>
      </x:c>
      <x:c r="C33" s="1" t="n">
        <x:v>-0.65</x:v>
      </x:c>
    </x:row>
    <x:row r="34" ht="15" hidden="0" customHeight="1">
      <x:c r="A34" s="1" t="s">
        <x:v>64</x:v>
      </x:c>
      <x:c r="B34" s="1" t="n">
        <x:v>5</x:v>
      </x:c>
      <x:c r="C34" s="1" t="n">
        <x:v>-0.5</x:v>
      </x:c>
    </x:row>
    <x:row r="35" ht="15" hidden="0" customHeight="1">
      <x:c r="A35" s="1" t="s">
        <x:v>65</x:v>
      </x:c>
      <x:c r="B35" s="1" t="n">
        <x:v>6</x:v>
      </x:c>
      <x:c r="C35" s="1" t="n">
        <x:v>-0.55</x:v>
      </x:c>
    </x:row>
    <x:row r="36" ht="15" hidden="0" customHeight="1">
      <x:c r="A36" s="1" t="s">
        <x:v>66</x:v>
      </x:c>
      <x:c r="B36" s="1" t="n">
        <x:v>7</x:v>
      </x:c>
      <x:c r="C36" s="1" t="n">
        <x:v>-0.45</x:v>
      </x:c>
    </x:row>
    <x:row r="37" ht="15" hidden="0" customHeight="1">
      <x:c r="A37" s="1" t="s">
        <x:v>67</x:v>
      </x:c>
      <x:c r="B37" s="1" t="n">
        <x:v>8</x:v>
      </x:c>
      <x:c r="C37" s="1" t="n">
        <x:v>-0.4</x:v>
      </x:c>
    </x:row>
    <x:row r="38" ht="15" hidden="0" customHeight="1">
      <x:c r="A38" s="1" t="s">
        <x:v>68</x:v>
      </x:c>
      <x:c r="B38" s="1" t="n">
        <x:f aca="0">COUNTA(A30:A37)</x:f>
        <x:v>8</x:v>
      </x:c>
      <x:c r="C38" s="1" t="s">
        <x:v>69</x:v>
      </x:c>
    </x:row>
    <x:row r="39" ht="13.5" hidden="0" customHeight="1"/>
    <x:row r="40" ht="15" hidden="0" customHeight="1">
      <x:c r="A40" s="9" t="s">
        <x:v>70</x:v>
      </x:c>
    </x:row>
    <x:row r="41" ht="15" hidden="0" customHeight="1">
      <x:c r="A41" s="1" t="s">
        <x:v>71</x:v>
      </x:c>
      <x:c r="B41" s="1" t="n">
        <x:f aca="0">IF(B12="YES",6,5)</x:f>
        <x:v>5</x:v>
      </x:c>
      <x:c r="C41" s="1" t="s">
        <x:v>72</x:v>
      </x:c>
    </x:row>
    <x:row r="42" ht="15" hidden="0" customHeight="1">
      <x:c r="A42" s="1" t="s">
        <x:v>73</x:v>
      </x:c>
      <x:c r="B42" s="1" t="s">
        <x:v>74</x:v>
      </x:c>
    </x:row>
    <x:row r="43" ht="15" hidden="0" customHeight="1">
      <x:c r="A43" s="1" t="s">
        <x:v>75</x:v>
      </x:c>
      <x:c r="B43" s="1" t="s">
        <x:v>76</x:v>
      </x:c>
    </x:row>
    <x:row r="44" ht="15" hidden="0" customHeight="1">
      <x:c r="A44" s="1" t="s">
        <x:v>77</x:v>
      </x:c>
      <x:c r="B44" s="1" t="s">
        <x:v>76</x:v>
      </x:c>
    </x:row>
    <x:row r="45" ht="15" hidden="0" customHeight="1">
      <x:c r="A45" s="1" t="s">
        <x:v>78</x:v>
      </x:c>
      <x:c r="B45" s="1" t="s">
        <x:v>76</x:v>
      </x:c>
    </x:row>
    <x:row r="46" ht="15" hidden="0" customHeight="1">
      <x:c r="A46" s="1" t="s">
        <x:v>79</x:v>
      </x:c>
      <x:c r="B46" s="1" t="s">
        <x:v>76</x:v>
      </x:c>
    </x:row>
    <x:row r="47" ht="15" hidden="0" customHeight="1">
      <x:c r="A47" s="1" t="s">
        <x:v>80</x:v>
      </x:c>
      <x:c r="B47" s="1" t="s">
        <x:v>76</x:v>
      </x:c>
    </x:row>
    <x:row r="48" ht="15" hidden="0" customHeight="1">
      <x:c r="A48" s="1" t="s">
        <x:v>81</x:v>
      </x:c>
      <x:c r="B48" s="1" t="str">
        <x:f aca="0">IF($B$12="YES","YES","NO")</x:f>
        <x:v>NO</x:v>
      </x:c>
    </x:row>
    <x:row r="49" ht="13.5" hidden="0" customHeight="1"/>
    <x:row r="50" ht="15" hidden="0" customHeight="1">
      <x:c r="A50" s="9" t="s">
        <x:v>82</x:v>
      </x:c>
    </x:row>
    <x:row r="51" ht="15" hidden="0" customHeight="1">
      <x:c r="A51" s="1" t="s">
        <x:v>83</x:v>
      </x:c>
      <x:c r="B51" s="1" t="str">
        <x:f aca="0">NCRC!D18</x:f>
        <x:v>PASS</x:v>
      </x:c>
    </x:row>
    <x:row r="52" ht="15" hidden="0" customHeight="1">
      <x:c r="A52" s="1" t="s">
        <x:v>84</x:v>
      </x:c>
      <x:c r="B52" s="1" t="str">
        <x:f aca="0">NCRC!D19</x:f>
        <x:v>PASS</x:v>
      </x:c>
    </x:row>
    <x:row r="53" ht="13.5" hidden="0" customHeight="1"/>
    <x:row r="54" ht="15" hidden="0" customHeight="1">
      <x:c r="A54" s="1" t="s">
        <x:v>85</x:v>
      </x:c>
      <x:c r="B54" s="1" t="n">
        <x:v>0.0219</x:v>
      </x:c>
    </x:row>
    <x:row r="55" ht="15" hidden="0" customHeight="1">
      <x:c r="A55" s="1" t="s">
        <x:v>86</x:v>
      </x:c>
      <x:c r="B55" s="1" t="n">
        <x:v>0.0315</x:v>
      </x:c>
    </x:row>
    <x:row r="56" ht="15" hidden="0" customHeight="1">
      <x:c r="A56" s="1" t="s">
        <x:v>87</x:v>
      </x:c>
      <x:c r="B56" s="1" t="str">
        <x:f aca="0">IF(B54&lt;=B58,"PASS","FAIL")</x:f>
        <x:v>PASS</x:v>
      </x:c>
    </x:row>
    <x:row r="57" ht="15" hidden="0" customHeight="1">
      <x:c r="A57" s="1" t="s">
        <x:v>88</x:v>
      </x:c>
      <x:c r="B57" s="1" t="str">
        <x:f aca="0">IF(B55&lt;=B58,"PASS","FAIL")</x:f>
        <x:v>PASS</x:v>
      </x:c>
    </x:row>
    <x:row r="58" ht="15" hidden="0" customHeight="1">
      <x:c r="A58" s="1" t="s">
        <x:v>89</x:v>
      </x:c>
      <x:c r="B58" s="1" t="n">
        <x:v>0.2</x:v>
      </x:c>
      <x:c r="C58" s="1" t="s">
        <x:v>90</x:v>
      </x:c>
    </x:row>
    <x:row r="59" ht="13.5" hidden="0" customHeight="1">
      <x:c r="A59" s="1" t="s">
        <x:v>91</x:v>
      </x:c>
      <x:c r="B59" s="1" t="str">
        <x:f aca="0">IF(ABS(B63-B64)/SQRT(2*B26^2+0.000001)&lt;B22,"NO","YES")</x:f>
        <x:v>NO</x:v>
      </x:c>
    </x:row>
    <x:row r="60" ht="15" hidden="0" customHeight="1">
      <x:c r="A60" s="1" t="s">
        <x:v>92</x:v>
      </x:c>
      <x:c r="B60" s="1" t="str">
        <x:f aca="0">Containment!K14</x:f>
        <x:v>PASS</x:v>
      </x:c>
    </x:row>
    <x:row r="61" ht="15" hidden="0" customHeight="1">
      <x:c r="A61" s="1" t="s">
        <x:v>93</x:v>
      </x:c>
      <x:c r="B61" s="1" t="str">
        <x:f aca="0">Containment!K15</x:f>
        <x:v>PASS (vacuous)</x:v>
      </x:c>
    </x:row>
    <x:row r="62" ht="13.5" hidden="0" customHeight="1"/>
    <x:row r="63" ht="15" hidden="0" customHeight="1">
      <x:c r="A63" s="1" t="s">
        <x:v>94</x:v>
      </x:c>
      <x:c r="B63" s="10">
        <x:f aca="0">RLS!B5</x:f>
        <x:v>0.01531294271682332</x:v>
      </x:c>
    </x:row>
    <x:row r="64" ht="15" hidden="0" customHeight="1">
      <x:c r="A64" s="1" t="s">
        <x:v>95</x:v>
      </x:c>
      <x:c r="B64" s="10">
        <x:f aca="0">RLS!B6</x:f>
        <x:v>-0.0011223873850524822</x:v>
      </x:c>
    </x:row>
    <x:row r="65" ht="13.5" hidden="0" customHeight="1"/>
    <x:row r="66" ht="15" hidden="0" customHeight="1">
      <x:c r="A66" s="9" t="s">
        <x:v>96</x:v>
      </x:c>
    </x:row>
    <x:row r="67" ht="15" hidden="0" customHeight="1">
      <x:c r="A67" s="1" t="s">
        <x:v>97</x:v>
      </x:c>
      <x:c r="B67" s="1" t="n">
        <x:f aca="0">COUNTIF(B51:B52,"PASS")</x:f>
        <x:v>2</x:v>
      </x:c>
      <x:c r="C67" s="1" t="s">
        <x:v>98</x:v>
      </x:c>
    </x:row>
    <x:row r="68" ht="15" hidden="0" customHeight="1">
      <x:c r="A68" s="1" t="s">
        <x:v>99</x:v>
      </x:c>
      <x:c r="B68" s="1" t="n">
        <x:f aca="0">COUNTIFS(B51:B52,"PASS",B56:B57,"PASS")</x:f>
        <x:v>2</x:v>
      </x:c>
      <x:c r="C68" s="1" t="s">
        <x:v>100</x:v>
      </x:c>
    </x:row>
    <x:row r="69" ht="13.5" hidden="0" customHeight="1"/>
    <x:row r="70" ht="15" hidden="0" customHeight="1">
      <x:c r="A70" s="1" t="s">
        <x:v>101</x:v>
      </x:c>
      <x:c r="B70" s="1" t="str">
        <x:f aca="0">IF(B67=0,"EMERGENCY_MODE",IF(AND(B67&gt;0,B68=0),"TRC_FALLBACK","NORMAL"))</x:f>
        <x:v>NORMAL</x:v>
      </x:c>
    </x:row>
    <x:row r="71" ht="15" hidden="0" customHeight="1">
      <x:c r="A71" s="1" t="s">
        <x:v>102</x:v>
      </x:c>
      <x:c r="B71" s="1" t="str">
        <x:f aca="0">IF(B70="EMERGENCY_MODE","",IF(B70="TRC_FALLBACK",IF(B54&lt;=B55,"A","B"),IF(AND(B51="PASS",B56="PASS",OR(B52&lt;&gt;"PASS",B57&lt;&gt;"PASS")),"A",IF(AND(B52="PASS",B57="PASS",OR(B51&lt;&gt;"PASS",B56&lt;&gt;"PASS")),"B",IF(B63&gt;B64,"A",IF(B64&gt;B63,"B","TIE"))))))</x:f>
        <x:v>A</x:v>
      </x:c>
    </x:row>
    <x:row r="72" ht="15" hidden="0" customHeight="1">
      <x:c r="A72" s="1" t="s">
        <x:v>103</x:v>
      </x:c>
      <x:c r="B72" s="1" t="str">
        <x:f aca="0">IF(B70="EMERGENCY_MODE","No rights-admissible options",IF(B70="TRC_FALLBACK","Min CVaR (TRC fallback)",IF(B59="NO",IF(B63&gt;B64,"Non-decisive RLS lead; judgment call documented",IF(B64&gt;B63,"Non-decisive RLS lead; judgment call documented","RLS tie - requires UCI")),IF(B71="TIE","RLS tie - requires UCI","RLS comparison"))))</x:f>
        <x:v>Non-decisive RLS lead; judgment call documented</x:v>
      </x:c>
    </x:row>
    <x:row r="73" ht="15" hidden="0" customHeight="1">
      <x:c r="A73" s="1" t="s">
        <x:v>104</x:v>
      </x:c>
      <x:c r="B73" s="1" t="str">
        <x:f aca="0">IF(OR(B70="EMERGENCY_MODE",B70="TRC_FALLBACK"),"YES","NO")</x:f>
        <x:v>NO</x:v>
      </x:c>
    </x:row>
    <x:row r="74" ht="13.5" hidden="0" customHeight="1"/>
    <x:row r="75" ht="15" hidden="0" customHeight="1">
      <x:c r="A75" s="9" t="s">
        <x:v>105</x:v>
      </x:c>
    </x:row>
    <x:row r="76" ht="15" hidden="0" customHeight="1">
      <x:c r="A76" s="1" t="s">
        <x:v>106</x:v>
      </x:c>
      <x:c r="B76" s="1" t="n">
        <x:v>0</x:v>
      </x:c>
      <x:c r="C76" s="1" t="s">
        <x:v>107</x:v>
      </x:c>
    </x:row>
    <x:row r="77" ht="15" hidden="0" customHeight="1">
      <x:c r="A77" s="1" t="s">
        <x:v>108</x:v>
      </x:c>
      <x:c r="B77" s="1" t="n">
        <x:v>0</x:v>
      </x:c>
    </x:row>
    <x:row r="78" ht="13.5" hidden="0" customHeight="1"/>
    <x:row r="79" ht="15" hidden="0" customHeight="1">
      <x:c r="A79" s="9" t="s">
        <x:v>109</x:v>
      </x:c>
    </x:row>
    <x:row r="80" ht="15" hidden="0" customHeight="1">
      <x:c r="A80" s="1" t="s">
        <x:v>110</x:v>
      </x:c>
      <x:c r="B80" s="11" t="n">
        <x:f aca="0">Audit_Flags!B21</x:f>
        <x:v>0</x:v>
      </x:c>
      <x:c r="C80" s="1" t="s">
        <x:v>111</x:v>
      </x:c>
    </x:row>
    <x:row r="81" ht="15" hidden="0" customHeight="1">
      <x:c r="A81" s="1" t="s">
        <x:v>112</x:v>
      </x:c>
      <x:c r="B81" s="11" t="str">
        <x:f aca="0">IF(AND(B80=0,B82="WORKED_RUN"),"YES","NO")</x:f>
        <x:v>YES</x:v>
      </x:c>
    </x:row>
    <x:row r="82" ht="14.25" hidden="0" customHeight="1">
      <x:c r="A82" s="1" t="s">
        <x:v>113</x:v>
      </x:c>
      <x:c r="B82" s="1" t="s">
        <x:v>114</x:v>
      </x:c>
      <x:c r="C82" s="1" t="s">
        <x:v>115</x:v>
      </x:c>
    </x:row>
    <x:row r="83" ht="14.25" hidden="0" customHeight="1">
      <x:c r="A83" s="1" t="s">
        <x:v>116</x:v>
      </x:c>
      <x:c r="B83" s="1" t="str">
        <x:f aca="0">B118</x:f>
        <x:v>YES</x:v>
      </x:c>
      <x:c r="C83" s="1" t="s">
        <x:v>117</x:v>
      </x:c>
    </x:row>
    <x:row r="84" ht="13.5" hidden="0" customHeight="1"/>
    <x:row r="85" ht="14.25" hidden="0" customHeight="1">
      <x:c r="A85" s="12" t="s">
        <x:v>118</x:v>
      </x:c>
    </x:row>
    <x:row r="86" ht="14.25" hidden="0" customHeight="1">
      <x:c r="A86" s="1" t="s">
        <x:v>119</x:v>
      </x:c>
    </x:row>
    <x:row r="87" ht="14.25" hidden="0" customHeight="1">
      <x:c r="D87" s="13"/>
    </x:row>
    <x:row r="88" ht="14.25" hidden="0" customHeight="1">
      <x:c r="A88" s="1" t="s">
        <x:v>120</x:v>
      </x:c>
      <x:c r="B88" s="1" t="s">
        <x:v>121</x:v>
      </x:c>
      <x:c r="C88" s="1" t="s">
        <x:v>122</x:v>
      </x:c>
      <x:c r="D88" s="13" t="s">
        <x:v>123</x:v>
      </x:c>
    </x:row>
    <x:row r="89" ht="14.25" hidden="0" customHeight="1">
      <x:c r="A89" s="1" t="s">
        <x:v>30</x:v>
      </x:c>
      <x:c r="B89" s="1" t="n">
        <x:f aca="0">B10</x:f>
        <x:v>2</x:v>
      </x:c>
      <x:c r="C89" s="1" t="s">
        <x:v>124</x:v>
      </x:c>
      <x:c r="D89" s="13" t="str">
        <x:f aca="0">IF(AND(ISNUMBER(B89),B89=INT(B89),B89&gt;=1,B89&lt;=3),"PASS","FAIL")</x:f>
        <x:v>PASS</x:v>
      </x:c>
    </x:row>
    <x:row r="90" ht="14.25" hidden="0" customHeight="1">
      <x:c r="A90" s="1" t="s">
        <x:v>125</x:v>
      </x:c>
      <x:c r="B90" s="1" t="n">
        <x:f aca="0">B18</x:f>
        <x:v>0.95</x:v>
      </x:c>
      <x:c r="C90" s="1" t="s">
        <x:v>126</x:v>
      </x:c>
      <x:c r="D90" s="13" t="str">
        <x:f aca="0">IF(AND(ISNUMBER(B90),B90&gt;=0,B90&lt;=1),"PASS","FAIL")</x:f>
        <x:v>PASS</x:v>
      </x:c>
    </x:row>
    <x:row r="91" ht="14.25" hidden="0" customHeight="1">
      <x:c r="A91" s="1" t="s">
        <x:v>127</x:v>
      </x:c>
      <x:c r="B91" s="1">
        <x:f aca="0">B19</x:f>
        <x:v>0.050000000000000044</x:v>
      </x:c>
      <x:c r="C91" s="1" t="s">
        <x:v>126</x:v>
      </x:c>
      <x:c r="D91" s="13" t="str">
        <x:f aca="0">IF(AND(ISNUMBER(B91),B91&gt;=0,B91&lt;=1),"PASS","FAIL")</x:f>
        <x:v>PASS</x:v>
      </x:c>
    </x:row>
    <x:row r="92" ht="14.25" hidden="0" customHeight="1">
      <x:c r="A92" s="1" t="s">
        <x:v>47</x:v>
      </x:c>
      <x:c r="B92" s="1" t="n">
        <x:f aca="0">B20</x:f>
        <x:v>2</x:v>
      </x:c>
      <x:c r="C92" s="1" t="s">
        <x:v>128</x:v>
      </x:c>
      <x:c r="D92" s="13" t="str">
        <x:f aca="0">IF(AND(ISNUMBER(B92),B92=INT(B92),B92&gt;0),"PASS","FAIL")</x:f>
        <x:v>PASS</x:v>
      </x:c>
    </x:row>
    <x:row r="93" ht="14.25" hidden="0" customHeight="1">
      <x:c r="A93" s="1" t="s">
        <x:v>48</x:v>
      </x:c>
      <x:c r="B93" s="1" t="n">
        <x:f aca="0">B21</x:f>
        <x:v>1</x:v>
      </x:c>
      <x:c r="C93" s="1" t="s">
        <x:v>129</x:v>
      </x:c>
      <x:c r="D93" s="13" t="str">
        <x:f aca="0">IF(OR(B93=0,B93=1),"PASS","FAIL")</x:f>
        <x:v>PASS</x:v>
      </x:c>
    </x:row>
    <x:row r="94" ht="14.25" hidden="0" customHeight="1">
      <x:c r="A94" s="1" t="s">
        <x:v>130</x:v>
      </x:c>
      <x:c r="B94" s="1" t="n">
        <x:f aca="0">B22</x:f>
        <x:v>2</x:v>
      </x:c>
      <x:c r="C94" s="1" t="s">
        <x:v>131</x:v>
      </x:c>
      <x:c r="D94" s="13" t="str">
        <x:f aca="0">IF(AND(ISNUMBER(B94),B94&gt;0),"PASS","FAIL")</x:f>
        <x:v>PASS</x:v>
      </x:c>
    </x:row>
    <x:row r="95" ht="14.25" hidden="0" customHeight="1">
      <x:c r="A95" s="1" t="s">
        <x:v>132</x:v>
      </x:c>
      <x:c r="B95" s="1" t="n">
        <x:f aca="0">B23</x:f>
        <x:v>0.05</x:v>
      </x:c>
      <x:c r="C95" s="1" t="s">
        <x:v>126</x:v>
      </x:c>
      <x:c r="D95" s="13" t="str">
        <x:f aca="0">IF(AND(ISNUMBER(B95),B95&gt;=0,B95&lt;=1),"PASS","FAIL")</x:f>
        <x:v>PASS</x:v>
      </x:c>
    </x:row>
    <x:row r="96" ht="14.25" hidden="0" customHeight="1">
      <x:c r="A96" s="1" t="s">
        <x:v>133</x:v>
      </x:c>
      <x:c r="B96" s="1" t="n">
        <x:f aca="0">B24</x:f>
        <x:v>-0.1</x:v>
      </x:c>
      <x:c r="C96" s="1" t="s">
        <x:v>134</x:v>
      </x:c>
      <x:c r="D96" s="13" t="str">
        <x:f aca="0">IF(AND(ISNUMBER(B96),B96&lt;0),"PASS","FAIL")</x:f>
        <x:v>PASS</x:v>
      </x:c>
    </x:row>
    <x:row r="97" ht="14.25" hidden="0" customHeight="1">
      <x:c r="A97" s="1" t="s">
        <x:v>135</x:v>
      </x:c>
      <x:c r="B97" s="1" t="n">
        <x:f aca="0">B25</x:f>
        <x:v>25</x:v>
      </x:c>
      <x:c r="C97" s="1" t="s">
        <x:v>128</x:v>
      </x:c>
      <x:c r="D97" s="13" t="str">
        <x:f aca="0">IF(AND(ISNUMBER(B97),B97=INT(B97),B97&gt;0),"PASS","FAIL")</x:f>
        <x:v>PASS</x:v>
      </x:c>
    </x:row>
    <x:row r="98" ht="14.25" hidden="0" customHeight="1">
      <x:c r="A98" s="1" t="s">
        <x:v>136</x:v>
      </x:c>
      <x:c r="B98" s="1" t="n">
        <x:f aca="0">B26</x:f>
        <x:v>0.02</x:v>
      </x:c>
      <x:c r="C98" s="1" t="s">
        <x:v>137</x:v>
      </x:c>
      <x:c r="D98" s="13" t="str">
        <x:f aca="0">IF(AND(ISNUMBER(B98),B98&gt;=0),"PASS","FAIL")</x:f>
        <x:v>PASS</x:v>
      </x:c>
    </x:row>
    <x:row r="99" ht="14.25" hidden="0" customHeight="1">
      <x:c r="A99" s="1" t="s">
        <x:v>38</x:v>
      </x:c>
      <x:c r="B99" s="1" t="n">
        <x:f aca="0">B13</x:f>
        <x:v>1</x:v>
      </x:c>
      <x:c r="C99" s="1" t="s">
        <x:v>129</x:v>
      </x:c>
      <x:c r="D99" s="13" t="str">
        <x:f aca="0">IF(OR(B99=0,B99=1),"PASS","FAIL")</x:f>
        <x:v>PASS</x:v>
      </x:c>
    </x:row>
    <x:row r="100" ht="14.25" hidden="0" customHeight="1">
      <x:c r="A100" s="1" t="s">
        <x:v>40</x:v>
      </x:c>
      <x:c r="B100" s="1" t="n">
        <x:f aca="0">B14</x:f>
        <x:v>1</x:v>
      </x:c>
      <x:c r="C100" s="1" t="s">
        <x:v>129</x:v>
      </x:c>
      <x:c r="D100" s="13" t="str">
        <x:f aca="0">IF(OR(B100=0,B100=1),"PASS","FAIL")</x:f>
        <x:v>PASS</x:v>
      </x:c>
    </x:row>
    <x:row r="101" ht="14.25" hidden="0" customHeight="1">
      <x:c r="A101" s="1" t="s">
        <x:v>42</x:v>
      </x:c>
      <x:c r="B101" s="1" t="n">
        <x:f aca="0">B15</x:f>
        <x:v>0</x:v>
      </x:c>
      <x:c r="C101" s="1" t="s">
        <x:v>129</x:v>
      </x:c>
      <x:c r="D101" s="13" t="str">
        <x:f aca="0">IF(OR(B101=0,B101=1),"PASS","FAIL")</x:f>
        <x:v>PASS</x:v>
      </x:c>
    </x:row>
    <x:row r="102" ht="14.25" hidden="0" customHeight="1">
      <x:c r="A102" s="1" t="s">
        <x:v>68</x:v>
      </x:c>
      <x:c r="B102" s="1" t="n">
        <x:f aca="0">B38</x:f>
        <x:v>8</x:v>
      </x:c>
      <x:c r="C102" s="1" t="s">
        <x:v>138</x:v>
      </x:c>
      <x:c r="D102" s="13" t="str">
        <x:f aca="0">IF(AND(ISNUMBER(B102),B102=INT(B102),B102=8),"PASS","FAIL")</x:f>
        <x:v>PASS</x:v>
      </x:c>
    </x:row>
    <x:row r="103" ht="14.25" hidden="0" customHeight="1">
      <x:c r="A103" s="1" t="s">
        <x:v>139</x:v>
      </x:c>
      <x:c r="B103" s="1" t="n">
        <x:f aca="0">B41</x:f>
        <x:v>5</x:v>
      </x:c>
      <x:c r="C103" s="1" t="s">
        <x:v>140</x:v>
      </x:c>
      <x:c r="D103" s="13" t="str">
        <x:f aca="0">IF(AND(ISNUMBER(B103),B103=INT(B103),B103&gt;=5,B103&lt;=6),"PASS","FAIL")</x:f>
        <x:v>PASS</x:v>
      </x:c>
    </x:row>
    <x:row r="104" ht="14.25" hidden="0" customHeight="1">
      <x:c r="A104" s="1" t="s">
        <x:v>85</x:v>
      </x:c>
      <x:c r="B104" s="1" t="n">
        <x:f aca="0">B54</x:f>
        <x:v>0.0219</x:v>
      </x:c>
      <x:c r="C104" s="1" t="s">
        <x:v>137</x:v>
      </x:c>
      <x:c r="D104" s="13" t="str">
        <x:f aca="0">IF(AND(ISNUMBER(B104),B104&gt;=0),"PASS","FAIL")</x:f>
        <x:v>PASS</x:v>
      </x:c>
    </x:row>
    <x:row r="105" ht="14.25" hidden="0" customHeight="1">
      <x:c r="A105" s="1" t="s">
        <x:v>86</x:v>
      </x:c>
      <x:c r="B105" s="1" t="n">
        <x:f aca="0">B55</x:f>
        <x:v>0.0315</x:v>
      </x:c>
      <x:c r="C105" s="1" t="s">
        <x:v>137</x:v>
      </x:c>
      <x:c r="D105" s="13" t="str">
        <x:f aca="0">IF(AND(ISNUMBER(B105),B105&gt;=0),"PASS","FAIL")</x:f>
        <x:v>PASS</x:v>
      </x:c>
    </x:row>
    <x:row r="106" ht="14.25" hidden="0" customHeight="1">
      <x:c r="A106" s="1" t="s">
        <x:v>89</x:v>
      </x:c>
      <x:c r="B106" s="1" t="n">
        <x:f aca="0">B58</x:f>
        <x:v>0.2</x:v>
      </x:c>
      <x:c r="C106" s="1" t="s">
        <x:v>126</x:v>
      </x:c>
      <x:c r="D106" s="13" t="str">
        <x:f aca="0">IF(AND(ISNUMBER(B106),B106&gt;=0,B106&lt;=1),"PASS","FAIL")</x:f>
        <x:v>PASS</x:v>
      </x:c>
    </x:row>
    <x:row r="107" ht="14.25" hidden="0" customHeight="1">
      <x:c r="A107" s="1" t="s">
        <x:v>94</x:v>
      </x:c>
      <x:c r="B107" s="10">
        <x:f aca="0">B63</x:f>
        <x:v>0.01531294271682332</x:v>
      </x:c>
      <x:c r="C107" s="1" t="s">
        <x:v>141</x:v>
      </x:c>
      <x:c r="D107" s="13" t="str">
        <x:f aca="0">IF(ISNUMBER(B107),"PASS","FAIL")</x:f>
        <x:v>PASS</x:v>
      </x:c>
    </x:row>
    <x:row r="108" ht="14.25" hidden="0" customHeight="1">
      <x:c r="A108" s="1" t="s">
        <x:v>95</x:v>
      </x:c>
      <x:c r="B108" s="10">
        <x:f aca="0">B64</x:f>
        <x:v>-0.0011223873850524822</x:v>
      </x:c>
      <x:c r="C108" s="1" t="s">
        <x:v>141</x:v>
      </x:c>
      <x:c r="D108" s="13" t="str">
        <x:f aca="0">IF(ISNUMBER(B108),"PASS","FAIL")</x:f>
        <x:v>PASS</x:v>
      </x:c>
    </x:row>
    <x:row r="109" ht="14.25" hidden="0" customHeight="1">
      <x:c r="A109" s="1" t="s">
        <x:v>97</x:v>
      </x:c>
      <x:c r="B109" s="1" t="n">
        <x:f aca="0">B67</x:f>
        <x:v>2</x:v>
      </x:c>
      <x:c r="C109" s="1" t="s">
        <x:v>142</x:v>
      </x:c>
      <x:c r="D109" s="13" t="str">
        <x:f aca="0">IF(AND(ISNUMBER(B109),B109=INT(B109),B109&gt;=0),"PASS","FAIL")</x:f>
        <x:v>PASS</x:v>
      </x:c>
    </x:row>
    <x:row r="110" ht="14.25" hidden="0" customHeight="1">
      <x:c r="A110" s="1" t="s">
        <x:v>99</x:v>
      </x:c>
      <x:c r="B110" s="1" t="n">
        <x:f aca="0">B68</x:f>
        <x:v>2</x:v>
      </x:c>
      <x:c r="C110" s="1" t="s">
        <x:v>142</x:v>
      </x:c>
      <x:c r="D110" s="13" t="str">
        <x:f aca="0">IF(AND(ISNUMBER(B110),B110=INT(B110),B110&gt;=0),"PASS","FAIL")</x:f>
        <x:v>PASS</x:v>
      </x:c>
    </x:row>
    <x:row r="111" ht="14.25" hidden="0" customHeight="1">
      <x:c r="A111" s="1" t="s">
        <x:v>106</x:v>
      </x:c>
      <x:c r="B111" s="1" t="n">
        <x:f aca="0">B76</x:f>
        <x:v>0</x:v>
      </x:c>
      <x:c r="C111" s="1" t="s">
        <x:v>142</x:v>
      </x:c>
      <x:c r="D111" s="13" t="str">
        <x:f aca="0">IF(AND(ISNUMBER(B111),B111=INT(B111),B111&gt;=0),"PASS","FAIL")</x:f>
        <x:v>PASS</x:v>
      </x:c>
    </x:row>
    <x:row r="112" ht="14.25" hidden="0" customHeight="1">
      <x:c r="A112" s="1" t="s">
        <x:v>143</x:v>
      </x:c>
      <x:c r="B112" s="1" t="n">
        <x:f aca="0">B80</x:f>
        <x:v>0</x:v>
      </x:c>
      <x:c r="C112" s="1" t="s">
        <x:v>142</x:v>
      </x:c>
      <x:c r="D112" s="13" t="str">
        <x:f aca="0">IF(AND(ISNUMBER(B112),B112=INT(B112),B112&gt;=0),"PASS","FAIL")</x:f>
        <x:v>PASS</x:v>
      </x:c>
    </x:row>
    <x:row r="113" ht="13.5" hidden="0" customHeight="1"/>
    <x:row r="114" ht="14.25" hidden="0" customHeight="1">
      <x:c r="A114" s="12" t="s">
        <x:v>144</x:v>
      </x:c>
    </x:row>
    <x:row r="115" ht="14.25" hidden="0" customHeight="1">
      <x:c r="A115" s="12" t="s">
        <x:v>145</x:v>
      </x:c>
      <x:c r="B115" s="13" t="n">
        <x:v>0</x:v>
      </x:c>
      <x:c r="C115" s="1" t="s">
        <x:v>146</x:v>
      </x:c>
    </x:row>
    <x:row r="116" ht="14.25" hidden="0" customHeight="1">
      <x:c r="A116" s="1" t="s">
        <x:v>147</x:v>
      </x:c>
      <x:c r="B116" s="13" t="n">
        <x:f aca="0">COUNTIF(D89:D112,"FAIL")</x:f>
        <x:v>0</x:v>
      </x:c>
      <x:c r="C116" s="1" t="s">
        <x:v>148</x:v>
      </x:c>
    </x:row>
    <x:row r="117" ht="14.25" hidden="0" customHeight="1">
      <x:c r="A117" s="1" t="s">
        <x:v>149</x:v>
      </x:c>
      <x:c r="B117" s="11" t="n">
        <x:f aca="0">COUNTIF(Dashboard!A1:Z100,"*[[]*")+COUNTIF(Dashboard!A1:Z100,"*PLACEHOLDER*")</x:f>
        <x:v>0</x:v>
      </x:c>
      <x:c r="C117" s="1" t="s">
        <x:v>150</x:v>
      </x:c>
    </x:row>
    <x:row r="118" ht="14.25" hidden="0" customHeight="1">
      <x:c r="A118" s="1" t="s">
        <x:v>151</x:v>
      </x:c>
      <x:c r="B118" s="11" t="str">
        <x:f aca="0">IF(OR(Audit_Flags!B21&gt;0,Audit_Flags!B12="YES",Audit_Flags!B18="YES",CANON!B116&gt;0,CANON!B117&gt;0,CANON!B80&gt;0),"NO","YES")</x:f>
        <x:v>YES</x:v>
      </x:c>
      <x:c r="C118" s="1" t="s">
        <x:v>152</x:v>
      </x:c>
    </x:row>
    <x:row r="119" ht="13.5" hidden="0" customHeight="1"/>
    <x:row r="120" ht="14.25" hidden="0" customHeight="1">
      <x:c r="A120" s="12" t="str">
        <x:f aca="0">"RELEASE INTEGRITY PANEL ("&amp;B7&amp;")"</x:f>
        <x:v>RELEASE INTEGRITY PANEL (v2.3)</x:v>
      </x:c>
    </x:row>
    <x:row r="121" ht="14.25" hidden="0" customHeight="1">
      <x:c r="A121" s="1" t="s">
        <x:v>153</x:v>
      </x:c>
      <x:c r="B121" s="11" t="n">
        <x:f aca="0">Sanity_Checklist!B40</x:f>
        <x:v>0</x:v>
      </x:c>
    </x:row>
    <x:row r="122" ht="14.25" hidden="0" customHeight="1">
      <x:c r="A122" s="1" t="s">
        <x:v>154</x:v>
      </x:c>
      <x:c r="B122" s="11" t="n">
        <x:f aca="0">Audit_Flags!B21</x:f>
        <x:v>0</x:v>
      </x:c>
    </x:row>
    <x:row r="123" ht="14.25" hidden="0" customHeight="1">
      <x:c r="A123" s="1" t="s">
        <x:v>155</x:v>
      </x:c>
      <x:c r="B123" s="11" t="str">
        <x:f aca="0">Audit_Flags!B18</x:f>
        <x:v>NO</x:v>
      </x:c>
    </x:row>
    <x:row r="124" ht="14.25" hidden="0" customHeight="1">
      <x:c r="A124" s="1" t="s">
        <x:v>156</x:v>
      </x:c>
      <x:c r="B124" s="11" t="n">
        <x:f aca="0">B117</x:f>
        <x:v>0</x:v>
      </x:c>
    </x:row>
    <x:row r="125" ht="14.25" hidden="0" customHeight="1">
      <x:c r="A125" s="1" t="s">
        <x:v>157</x:v>
      </x:c>
      <x:c r="B125" s="11" t="str">
        <x:f aca="0">B118</x:f>
        <x:v>YES</x:v>
      </x:c>
    </x:row>
    <x:row r="126" ht="13.5" hidden="0" customHeight="1"/>
    <x:row r="127" ht="14.25" hidden="0" customHeight="1">
      <x:c r="A127" s="1" t="s">
        <x:v>158</x:v>
      </x:c>
      <x:c r="B127" s="11" t="str">
        <x:f aca="0">IF(AND(B121=0,B122=0,B123="NO",B125="YES"),"✓ PUBLISH OK","❌ REVIEW NEEDED")</x:f>
        <x:v>✓ PUBLISH OK</x:v>
      </x:c>
    </x:row>
    <x:row r="128" ht="13.800000190734863" hidden="0"/>
    <x:row r="129" ht="15" hidden="0" customHeight="1">
      <x:c r="A129" s="14" t="s">
        <x:v>159</x:v>
      </x:c>
      <x:c r="B129" s="15"/>
      <x:c r="C129" s="15"/>
    </x:row>
    <x:row r="130" ht="13.5" hidden="0" customHeight="1">
      <x:c r="A130" s="16" t="s">
        <x:v>160</x:v>
      </x:c>
      <x:c r="B130" s="17" t="n">
        <x:v>1</x:v>
      </x:c>
      <x:c r="C130" s="18" t="s">
        <x:v>161</x:v>
      </x:c>
    </x:row>
    <x:row r="131" ht="13.5" hidden="0" customHeight="1">
      <x:c r="A131" s="16" t="s">
        <x:v>162</x:v>
      </x:c>
      <x:c r="B131" s="17" t="s">
        <x:v>163</x:v>
      </x:c>
      <x:c r="C131" s="15"/>
    </x:row>
    <x:row r="132" ht="13.5" hidden="0" customHeight="1">
      <x:c r="A132" s="16" t="s">
        <x:v>164</x:v>
      </x:c>
      <x:c r="B132" s="17" t="s">
        <x:v>165</x:v>
      </x:c>
      <x:c r="C132" s="18" t="s">
        <x:v>166</x:v>
      </x:c>
    </x:row>
    <x:row r="133" ht="13.5" hidden="0" customHeight="1">
      <x:c r="A133" s="16" t="s">
        <x:v>167</x:v>
      </x:c>
      <x:c r="B133" s="17" t="s">
        <x:v>168</x:v>
      </x:c>
      <x:c r="C133" s="18" t="s">
        <x:v>169</x:v>
      </x:c>
    </x:row>
    <x:row r="134" ht="13.5" hidden="0" customHeight="1">
      <x:c r="A134" s="16" t="s">
        <x:v>170</x:v>
      </x:c>
      <x:c r="B134" s="17" t="s">
        <x:v>171</x:v>
      </x:c>
      <x:c r="C134" s="15"/>
    </x:row>
    <x:row r="135" ht="13.5" hidden="0" customHeight="1">
      <x:c r="A135" s="16" t="s">
        <x:v>172</x:v>
      </x:c>
      <x:c r="B135" s="17" t="s">
        <x:v>173</x:v>
      </x:c>
      <x:c r="C135" s="15"/>
    </x:row>
    <x:row r="136" ht="13.5" hidden="0" customHeight="1">
      <x:c r="A136" s="16" t="s">
        <x:v>174</x:v>
      </x:c>
      <x:c r="B136" s="17" t="s">
        <x:v>76</x:v>
      </x:c>
      <x:c r="C136" s="18" t="s">
        <x:v>175</x:v>
      </x:c>
    </x:row>
    <x:row r="137" ht="13.5" hidden="0" customHeight="1">
      <x:c r="A137" s="16" t="s">
        <x:v>176</x:v>
      </x:c>
      <x:c r="B137" s="17" t="s">
        <x:v>177</x:v>
      </x:c>
      <x:c r="C137" s="18" t="s">
        <x:v>178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4.25"/>
  <x:cols>
    <x:col min="1" max="1" width="10" style="1" hidden="0" customWidth="1"/>
    <x:col min="2" max="2" width="35" style="1" hidden="0" customWidth="1"/>
    <x:col min="3" max="5" width="20" style="1" hidden="0" customWidth="1"/>
    <x:col min="6" max="6" width="25" style="1" hidden="0" customWidth="1"/>
  </x:cols>
  <x:sheetData>
    <x:row r="1" ht="17.25" hidden="0" customHeight="1">
      <x:c r="A1" s="12" t="s">
        <x:v>179</x:v>
      </x:c>
    </x:row>
    <x:row r="2" ht="14.25" hidden="0" customHeight="1">
      <x:c r="A2" s="1" t="s">
        <x:v>180</x:v>
      </x:c>
    </x:row>
    <x:row r="3" ht="15" hidden="0" customHeight="1">
      <x:c r="A3" s="1" t="s">
        <x:v>181</x:v>
      </x:c>
    </x:row>
    <x:row r="4" ht="15" hidden="0" customHeight="1"/>
    <x:row r="5" ht="14.25" hidden="0" customHeight="1">
      <x:c r="A5" s="12" t="s">
        <x:v>182</x:v>
      </x:c>
      <x:c r="B5" s="12" t="s">
        <x:v>183</x:v>
      </x:c>
      <x:c r="C5" s="12" t="s">
        <x:v>184</x:v>
      </x:c>
      <x:c r="D5" s="12" t="s">
        <x:v>185</x:v>
      </x:c>
      <x:c r="E5" s="12" t="s">
        <x:v>123</x:v>
      </x:c>
      <x:c r="F5" s="12" t="s">
        <x:v>186</x:v>
      </x:c>
    </x:row>
    <x:row r="6" ht="15" hidden="0" customHeight="1">
      <x:c r="A6" s="9" t="s">
        <x:v>187</x:v>
      </x:c>
      <x:c r="B6" s="9" t="s">
        <x:v>27</x:v>
      </x:c>
      <x:c r="C6" s="9" t="str">
        <x:f aca="0">Config!B3</x:f>
        <x:v>v2.3</x:v>
      </x:c>
      <x:c r="D6" s="9" t="str">
        <x:f aca="0">CANON!B7</x:f>
        <x:v>v2.3</x:v>
      </x:c>
      <x:c r="E6" s="19" t="str">
        <x:f aca="0">IF(C6=D6,"PASS","FAIL")</x:f>
        <x:v>PASS</x:v>
      </x:c>
      <x:c r="F6" s="9" t="s">
        <x:v>188</x:v>
      </x:c>
    </x:row>
    <x:row r="7" ht="15" hidden="0" customHeight="1">
      <x:c r="A7" s="1" t="s">
        <x:v>189</x:v>
      </x:c>
      <x:c r="B7" s="1" t="s">
        <x:v>190</x:v>
      </x:c>
      <x:c r="C7" s="1" t="str">
        <x:f aca="0">CANON!B7</x:f>
        <x:v>v2.3</x:v>
      </x:c>
      <x:c r="D7" s="1" t="str">
        <x:f aca="0">Config!B2</x:f>
        <x:v>v2.3</x:v>
      </x:c>
      <x:c r="E7" s="20" t="str">
        <x:f aca="0">IF(C7=D7,"PASS","FAIL")</x:f>
        <x:v>PASS</x:v>
      </x:c>
      <x:c r="F7" s="1" t="s">
        <x:v>191</x:v>
      </x:c>
    </x:row>
    <x:row r="8" ht="15" hidden="0" customHeight="1">
      <x:c r="A8" s="1" t="s">
        <x:v>192</x:v>
      </x:c>
      <x:c r="B8" s="1" t="s">
        <x:v>193</x:v>
      </x:c>
      <x:c r="C8" s="1" t="str">
        <x:f aca="0">CANON!B7</x:f>
        <x:v>v2.3</x:v>
      </x:c>
      <x:c r="D8" s="1" t="str">
        <x:f aca="0">PCC!B11</x:f>
        <x:v>v2.3</x:v>
      </x:c>
      <x:c r="E8" s="20" t="str">
        <x:f aca="0">IF(C8=D8,"PASS","FAIL")</x:f>
        <x:v>PASS</x:v>
      </x:c>
      <x:c r="F8" s="1" t="s">
        <x:v>194</x:v>
      </x:c>
    </x:row>
    <x:row r="9" ht="15" hidden="0" customHeight="1">
      <x:c r="A9" s="1" t="s">
        <x:v>195</x:v>
      </x:c>
      <x:c r="B9" s="1" t="s">
        <x:v>196</x:v>
      </x:c>
      <x:c r="C9" s="1" t="str">
        <x:f aca="0">Config!B4</x:f>
        <x:v>RippleLogic v9.0</x:v>
      </x:c>
      <x:c r="D9" s="1" t="str">
        <x:f aca="0">CANON!B5</x:f>
        <x:v>RippleLogic v9.0</x:v>
      </x:c>
      <x:c r="E9" s="20" t="str">
        <x:f aca="0">IF(C9=D9,"PASS","FAIL")</x:f>
        <x:v>PASS</x:v>
      </x:c>
      <x:c r="F9" s="1" t="s">
        <x:v>197</x:v>
      </x:c>
    </x:row>
    <x:row r="10" ht="15" hidden="0" customHeight="1">
      <x:c r="A10" s="1" t="s">
        <x:v>198</x:v>
      </x:c>
      <x:c r="B10" s="1" t="s">
        <x:v>199</x:v>
      </x:c>
      <x:c r="C10" s="1" t="n">
        <x:f aca="0">CANON!B54</x:f>
        <x:v>0.0219</x:v>
      </x:c>
      <x:c r="D10" s="1" t="n">
        <x:f aca="0">TRC!B25</x:f>
        <x:v>0.0219</x:v>
      </x:c>
      <x:c r="E10" s="20" t="str">
        <x:f aca="0">IF(AND(ISNUMBER(C10),ISNUMBER(D10)),IF(ABS(C10-D10)&lt;0.000000001,"PASS","FAIL"),IF(C10=D10,"PASS","FAIL"))</x:f>
        <x:v>PASS</x:v>
      </x:c>
      <x:c r="F10" s="1" t="s">
        <x:v>200</x:v>
      </x:c>
    </x:row>
    <x:row r="11" ht="15" hidden="0" customHeight="1">
      <x:c r="A11" s="1" t="s">
        <x:v>201</x:v>
      </x:c>
      <x:c r="B11" s="1" t="s">
        <x:v>202</x:v>
      </x:c>
      <x:c r="C11" s="1" t="n">
        <x:f aca="0">CANON!B55</x:f>
        <x:v>0.0315</x:v>
      </x:c>
      <x:c r="D11" s="1" t="n">
        <x:f aca="0">TRC!B41</x:f>
        <x:v>0.0315</x:v>
      </x:c>
      <x:c r="E11" s="20" t="str">
        <x:f aca="0">IF(AND(ISNUMBER(C11),ISNUMBER(D11)),IF(ABS(C11-D11)&lt;0.000000001,"PASS","FAIL"),IF(C11=D11,"PASS","FAIL"))</x:f>
        <x:v>PASS</x:v>
      </x:c>
      <x:c r="F11" s="1" t="s">
        <x:v>200</x:v>
      </x:c>
    </x:row>
    <x:row r="12" ht="15" hidden="0" customHeight="1">
      <x:c r="A12" s="1" t="s">
        <x:v>203</x:v>
      </x:c>
      <x:c r="B12" s="1" t="s">
        <x:v>204</x:v>
      </x:c>
      <x:c r="C12" s="1" t="n">
        <x:f aca="0">CANON!B54</x:f>
        <x:v>0.0219</x:v>
      </x:c>
      <x:c r="D12" s="1" t="n">
        <x:f aca="0">CANON!B54</x:f>
        <x:v>0.0219</x:v>
      </x:c>
      <x:c r="E12" s="20" t="str">
        <x:f aca="0">IF(AND(ISNUMBER(C12),ISNUMBER(D12)),IF(ABS(C12-D12)&lt;0.000000001,"PASS","FAIL"),IF(C12=D12,"PASS","FAIL"))</x:f>
        <x:v>PASS</x:v>
      </x:c>
      <x:c r="F12" s="1" t="s">
        <x:v>205</x:v>
      </x:c>
    </x:row>
    <x:row r="13" ht="15" hidden="0" customHeight="1">
      <x:c r="A13" s="1" t="s">
        <x:v>206</x:v>
      </x:c>
      <x:c r="B13" s="1" t="s">
        <x:v>207</x:v>
      </x:c>
      <x:c r="C13" s="1" t="n">
        <x:f aca="0">8</x:f>
        <x:v>8</x:v>
      </x:c>
      <x:c r="D13" s="1" t="n">
        <x:f aca="0">CANON!B38</x:f>
        <x:v>8</x:v>
      </x:c>
      <x:c r="E13" s="20" t="str">
        <x:f aca="0">IF(AND(ISNUMBER(C13),ISNUMBER(D13)),IF(ABS(C13-D13)&lt;0.000000001,"PASS","FAIL"),IF(C13=D13,"PASS","FAIL"))</x:f>
        <x:v>PASS</x:v>
      </x:c>
      <x:c r="F13" s="1" t="s">
        <x:v>208</x:v>
      </x:c>
    </x:row>
    <x:row r="14" ht="15" hidden="0" customHeight="1">
      <x:c r="A14" s="1" t="s">
        <x:v>209</x:v>
      </x:c>
      <x:c r="B14" s="1" t="s">
        <x:v>210</x:v>
      </x:c>
      <x:c r="C14" s="1" t="n">
        <x:f aca="0">16</x:f>
        <x:v>16</x:v>
      </x:c>
      <x:c r="D14" s="1" t="n">
        <x:f aca="0">COUNT(NCRC!D8:D15)+COUNT(NCRC!E8:E15)</x:f>
        <x:v>16</x:v>
      </x:c>
      <x:c r="E14" s="20" t="str">
        <x:f aca="0">IF(AND(ISNUMBER(C14),ISNUMBER(D14)),IF(ABS(C14-D14)&lt;0.000000001,"PASS","FAIL"),IF(C14=D14,"PASS","FAIL"))</x:f>
        <x:v>PASS</x:v>
      </x:c>
      <x:c r="F14" s="1" t="s">
        <x:v>211</x:v>
      </x:c>
    </x:row>
    <x:row r="15" ht="15" hidden="0" customHeight="1">
      <x:c r="A15" s="1" t="s">
        <x:v>212</x:v>
      </x:c>
      <x:c r="B15" s="1" t="s">
        <x:v>213</x:v>
      </x:c>
      <x:c r="C15" s="1" t="str">
        <x:f aca="0">"PASS"</x:f>
        <x:v>PASS</x:v>
      </x:c>
      <x:c r="D15" s="1" t="str">
        <x:f aca="0">CANON!B51</x:f>
        <x:v>PASS</x:v>
      </x:c>
      <x:c r="E15" s="20" t="str">
        <x:f aca="0">IF(AND(ISNUMBER(C15),ISNUMBER(D15)),IF(ABS(C15-D15)&lt;0.000000001,"PASS","FAIL"),IF(C15=D15,"PASS","FAIL"))</x:f>
        <x:v>PASS</x:v>
      </x:c>
      <x:c r="F15" s="1" t="s">
        <x:v>214</x:v>
      </x:c>
    </x:row>
    <x:row r="16" ht="15" hidden="0" customHeight="1">
      <x:c r="A16" s="1" t="s">
        <x:v>215</x:v>
      </x:c>
      <x:c r="B16" s="1" t="s">
        <x:v>216</x:v>
      </x:c>
      <x:c r="C16" s="1" t="str">
        <x:f aca="0">"PASS"</x:f>
        <x:v>PASS</x:v>
      </x:c>
      <x:c r="D16" s="1" t="str">
        <x:f aca="0">CANON!B52</x:f>
        <x:v>PASS</x:v>
      </x:c>
      <x:c r="E16" s="20" t="str">
        <x:f aca="0">IF(AND(ISNUMBER(C16),ISNUMBER(D16)),IF(ABS(C16-D16)&lt;0.000000001,"PASS","FAIL"),IF(C16=D16,"PASS","FAIL"))</x:f>
        <x:v>PASS</x:v>
      </x:c>
      <x:c r="F16" s="1" t="s">
        <x:v>217</x:v>
      </x:c>
    </x:row>
    <x:row r="17" ht="15" hidden="0" customHeight="1">
      <x:c r="A17" s="1" t="s">
        <x:v>218</x:v>
      </x:c>
      <x:c r="B17" s="1" t="s">
        <x:v>219</x:v>
      </x:c>
      <x:c r="C17" s="1" t="n">
        <x:f aca="0">CANON!B23</x:f>
        <x:v>0.05</x:v>
      </x:c>
      <x:c r="D17" s="1" t="n">
        <x:f aca="0">CANON!B23</x:f>
        <x:v>0.05</x:v>
      </x:c>
      <x:c r="E17" s="20" t="str">
        <x:f aca="0">IF(AND(ISNUMBER(C17),ISNUMBER(D17)),IF(ABS(C17-D17)&lt;0.000000001,"PASS","FAIL"),IF(C17=D17,"PASS","FAIL"))</x:f>
        <x:v>PASS</x:v>
      </x:c>
      <x:c r="F17" s="1" t="s">
        <x:v>220</x:v>
      </x:c>
    </x:row>
    <x:row r="18" ht="15" hidden="0" customHeight="1">
      <x:c r="A18" s="1" t="s">
        <x:v>221</x:v>
      </x:c>
      <x:c r="B18" s="1" t="s">
        <x:v>222</x:v>
      </x:c>
      <x:c r="C18" s="1" t="n">
        <x:f aca="0">CANON!B24</x:f>
        <x:v>-0.1</x:v>
      </x:c>
      <x:c r="D18" s="1" t="n">
        <x:f aca="0">CANON!B24</x:f>
        <x:v>-0.1</x:v>
      </x:c>
      <x:c r="E18" s="20" t="str">
        <x:f aca="0">IF(AND(ISNUMBER(C18),ISNUMBER(D18)),IF(ABS(C18-D18)&lt;0.000000001,"PASS","FAIL"),IF(C18=D18,"PASS","FAIL"))</x:f>
        <x:v>PASS</x:v>
      </x:c>
      <x:c r="F18" s="1" t="s">
        <x:v>220</x:v>
      </x:c>
    </x:row>
    <x:row r="19" ht="15" hidden="0" customHeight="1">
      <x:c r="A19" s="1" t="s">
        <x:v>223</x:v>
      </x:c>
      <x:c r="B19" s="1" t="s">
        <x:v>224</x:v>
      </x:c>
      <x:c r="C19" s="1" t="n">
        <x:f aca="0">CANON!B58</x:f>
        <x:v>0.2</x:v>
      </x:c>
      <x:c r="D19" s="1" t="n">
        <x:f aca="0">TRC!B9</x:f>
        <x:v>0.2</x:v>
      </x:c>
      <x:c r="E19" s="20" t="str">
        <x:f aca="0">IF(AND(ISNUMBER(C19),ISNUMBER(D19)),IF(ABS(C19-D19)&lt;0.000000001,"PASS","FAIL"),IF(C19=D19,"PASS","FAIL"))</x:f>
        <x:v>PASS</x:v>
      </x:c>
      <x:c r="F19" s="1" t="s">
        <x:v>225</x:v>
      </x:c>
    </x:row>
    <x:row r="20" ht="15" hidden="0" customHeight="1">
      <x:c r="A20" s="9" t="s">
        <x:v>226</x:v>
      </x:c>
      <x:c r="B20" s="1" t="s">
        <x:v>227</x:v>
      </x:c>
      <x:c r="C20" s="1" t="n">
        <x:f aca="0">CANON!B41</x:f>
        <x:v>5</x:v>
      </x:c>
      <x:c r="D20" s="1" t="n">
        <x:f aca="0">CANON!B41</x:f>
        <x:v>5</x:v>
      </x:c>
      <x:c r="E20" s="20" t="str">
        <x:f aca="0">IF(AND(ISNUMBER(C20),ISNUMBER(D20)),IF(ABS(C20-D20)&lt;0.000000001,"PASS","FAIL"),IF(C20=D20,"PASS","FAIL"))</x:f>
        <x:v>PASS</x:v>
      </x:c>
      <x:c r="F20" s="1" t="s">
        <x:v>228</x:v>
      </x:c>
    </x:row>
    <x:row r="21" ht="15" hidden="0" customHeight="1">
      <x:c r="A21" s="1" t="s">
        <x:v>229</x:v>
      </x:c>
      <x:c r="B21" s="1" t="s">
        <x:v>230</x:v>
      </x:c>
      <x:c r="C21" s="1" t="n">
        <x:f aca="0">CANON!B41</x:f>
        <x:v>5</x:v>
      </x:c>
      <x:c r="D21" s="1" t="n">
        <x:f aca="0">CANON!B41</x:f>
        <x:v>5</x:v>
      </x:c>
      <x:c r="E21" s="20" t="str">
        <x:f aca="0">IF(AND(ISNUMBER(C21),ISNUMBER(D21)),IF(ABS(C21-D21)&lt;0.000000001,"PASS","FAIL"),IF(C21=D21,"PASS","FAIL"))</x:f>
        <x:v>PASS</x:v>
      </x:c>
      <x:c r="F21" s="1" t="s">
        <x:v>228</x:v>
      </x:c>
    </x:row>
    <x:row r="22" ht="15" hidden="0" customHeight="1">
      <x:c r="A22" s="1" t="s">
        <x:v>231</x:v>
      </x:c>
      <x:c r="B22" s="1" t="s">
        <x:v>232</x:v>
      </x:c>
      <x:c r="C22" s="1" t="n">
        <x:f aca="0">0</x:f>
        <x:v>0</x:v>
      </x:c>
      <x:c r="D22" s="1" t="n">
        <x:f aca="0">CANON!B76</x:f>
        <x:v>0</x:v>
      </x:c>
      <x:c r="E22" s="20" t="str">
        <x:f aca="0">IF(AND(ISNUMBER(C22),ISNUMBER(D22)),IF(ABS(C22-D22)&lt;0.000000001,"PASS","FAIL"),IF(C22=D22,"PASS","FAIL"))</x:f>
        <x:v>PASS</x:v>
      </x:c>
      <x:c r="F22" s="1" t="s">
        <x:v>233</x:v>
      </x:c>
    </x:row>
    <x:row r="23" ht="15" hidden="0" customHeight="1">
      <x:c r="A23" s="1" t="s">
        <x:v>234</x:v>
      </x:c>
      <x:c r="B23" s="1" t="s">
        <x:v>235</x:v>
      </x:c>
      <x:c r="C23" s="1" t="str">
        <x:f aca="0">"NORMAL"</x:f>
        <x:v>NORMAL</x:v>
      </x:c>
      <x:c r="D23" s="1" t="str">
        <x:f aca="0">CANON!B70</x:f>
        <x:v>NORMAL</x:v>
      </x:c>
      <x:c r="E23" s="20" t="str">
        <x:f aca="0">IF(AND(ISNUMBER(C23),ISNUMBER(D23)),IF(ABS(C23-D23)&lt;0.000000001,"PASS","FAIL"),IF(C23=D23,"PASS","FAIL"))</x:f>
        <x:v>PASS</x:v>
      </x:c>
      <x:c r="F23" s="1" t="s">
        <x:v>236</x:v>
      </x:c>
    </x:row>
    <x:row r="24" ht="15" hidden="0" customHeight="1">
      <x:c r="A24" s="1" t="s">
        <x:v>237</x:v>
      </x:c>
      <x:c r="B24" s="1" t="s">
        <x:v>238</x:v>
      </x:c>
      <x:c r="C24" s="1" t="str">
        <x:f aca="0">"A"</x:f>
        <x:v>A</x:v>
      </x:c>
      <x:c r="D24" s="1" t="str">
        <x:f aca="0">CANON!B71</x:f>
        <x:v>A</x:v>
      </x:c>
      <x:c r="E24" s="20" t="str">
        <x:f aca="0">IF(AND(ISNUMBER(C24),ISNUMBER(D24)),IF(ABS(C24-D24)&lt;0.000000001,"PASS","FAIL"),IF(C24=D24,"PASS","FAIL"))</x:f>
        <x:v>PASS</x:v>
      </x:c>
      <x:c r="F24" s="1" t="s">
        <x:v>239</x:v>
      </x:c>
    </x:row>
    <x:row r="25" ht="15" hidden="0" customHeight="1">
      <x:c r="A25" s="1" t="s">
        <x:v>240</x:v>
      </x:c>
      <x:c r="B25" s="1" t="s">
        <x:v>241</x:v>
      </x:c>
      <x:c r="C25" s="1" t="n">
        <x:f aca="0">2</x:f>
        <x:v>2</x:v>
      </x:c>
      <x:c r="D25" s="1" t="n">
        <x:f aca="0">COUNT(TRC!B25,TRC!B41)</x:f>
        <x:v>2</x:v>
      </x:c>
      <x:c r="E25" s="20" t="str">
        <x:f aca="0">IF(AND(ISNUMBER(C25),ISNUMBER(D25)),IF(ABS(C25-D25)&lt;0.000000001,"PASS","FAIL"),IF(C25=D25,"PASS","FAIL"))</x:f>
        <x:v>PASS</x:v>
      </x:c>
      <x:c r="F25" s="1" t="s">
        <x:v>242</x:v>
      </x:c>
    </x:row>
    <x:row r="26" ht="15" hidden="0" customHeight="1">
      <x:c r="A26" s="1" t="s">
        <x:v>243</x:v>
      </x:c>
      <x:c r="B26" s="1" t="s">
        <x:v>244</x:v>
      </x:c>
      <x:c r="C26" s="1" t="str">
        <x:f aca="0">"Consistent"</x:f>
        <x:v>Consistent</x:v>
      </x:c>
      <x:c r="D26" s="1" t="str">
        <x:f aca="0">"Consistent"</x:f>
        <x:v>Consistent</x:v>
      </x:c>
      <x:c r="E26" s="20" t="str">
        <x:f aca="0">IF(AND(ISNUMBER(C26),ISNUMBER(D26)),IF(ABS(C26-D26)&lt;0.000000001,"PASS","FAIL"),IF(C26=D26,"PASS","FAIL"))</x:f>
        <x:v>PASS</x:v>
      </x:c>
      <x:c r="F26" s="1" t="s">
        <x:v>242</x:v>
      </x:c>
    </x:row>
    <x:row r="27" ht="15" hidden="0" customHeight="1">
      <x:c r="A27" s="1" t="s">
        <x:v>245</x:v>
      </x:c>
      <x:c r="B27" s="1" t="s">
        <x:v>246</x:v>
      </x:c>
      <x:c r="C27" s="1" t="n">
        <x:f aca="0">0</x:f>
        <x:v>0</x:v>
      </x:c>
      <x:c r="D27" s="1" t="n">
        <x:f aca="0">Audit_Flags!B21</x:f>
        <x:v>0</x:v>
      </x:c>
      <x:c r="E27" s="20" t="str">
        <x:f aca="0">IF(AND(ISNUMBER(C27),ISNUMBER(D27)),IF(ABS(C27-D27)&lt;0.000000001,"PASS","FAIL"),IF(C27=D27,"PASS","FAIL"))</x:f>
        <x:v>PASS</x:v>
      </x:c>
      <x:c r="F27" s="1" t="s">
        <x:v>247</x:v>
      </x:c>
    </x:row>
    <x:row r="28" ht="15" hidden="0" customHeight="1">
      <x:c r="A28" s="1" t="s">
        <x:v>248</x:v>
      </x:c>
      <x:c r="B28" s="1" t="s">
        <x:v>249</x:v>
      </x:c>
      <x:c r="C28" s="1" t="str">
        <x:f aca="0">"YES"</x:f>
        <x:v>YES</x:v>
      </x:c>
      <x:c r="D28" s="1" t="str">
        <x:f aca="0">CANON!B81</x:f>
        <x:v>YES</x:v>
      </x:c>
      <x:c r="E28" s="20" t="str">
        <x:f aca="0">IF(AND(ISNUMBER(C28),ISNUMBER(D28)),IF(ABS(C28-D28)&lt;0.000000001,"PASS","FAIL"),IF(C28=D28,"PASS","FAIL"))</x:f>
        <x:v>PASS</x:v>
      </x:c>
      <x:c r="F28" s="1" t="s">
        <x:v>250</x:v>
      </x:c>
    </x:row>
    <x:row r="29" ht="15" hidden="0" customHeight="1">
      <x:c r="A29" s="1" t="s">
        <x:v>251</x:v>
      </x:c>
      <x:c r="B29" s="1" t="s">
        <x:v>252</x:v>
      </x:c>
      <x:c r="C29" s="1" t="n">
        <x:f aca="0">CANON!B54</x:f>
        <x:v>0.0219</x:v>
      </x:c>
      <x:c r="D29" s="1" t="n">
        <x:f aca="0">CANON!B54</x:f>
        <x:v>0.0219</x:v>
      </x:c>
      <x:c r="E29" s="20" t="str">
        <x:f aca="0">IF(AND(ISNUMBER(C29),ISNUMBER(D29)),IF(ABS(C29-D29)&lt;0.000000001,"PASS","FAIL"),IF(C29=D29,"PASS","FAIL"))</x:f>
        <x:v>PASS</x:v>
      </x:c>
      <x:c r="F29" s="1" t="s">
        <x:v>253</x:v>
      </x:c>
    </x:row>
    <x:row r="30" ht="14.25" hidden="0" customHeight="1">
      <x:c r="A30" s="1" t="s">
        <x:v>254</x:v>
      </x:c>
      <x:c r="B30" s="1" t="s">
        <x:v>255</x:v>
      </x:c>
      <x:c r="C30" s="1" t="n">
        <x:f aca="0">CANON!B55</x:f>
        <x:v>0.0315</x:v>
      </x:c>
      <x:c r="D30" s="1" t="n">
        <x:f aca="0">CANON!B55</x:f>
        <x:v>0.0315</x:v>
      </x:c>
      <x:c r="E30" s="20" t="str">
        <x:f aca="0">IF(AND(ISNUMBER(C30),ISNUMBER(D30)),IF(ABS(C30-D30)&lt;0.000000001,"PASS","FAIL"),IF(C30=D30,"PASS","FAIL"))</x:f>
        <x:v>PASS</x:v>
      </x:c>
      <x:c r="F30" s="1" t="s">
        <x:v>253</x:v>
      </x:c>
    </x:row>
    <x:row r="31" ht="14.25" hidden="0" customHeight="1">
      <x:c r="A31" s="1" t="s">
        <x:v>256</x:v>
      </x:c>
      <x:c r="B31" s="1" t="s">
        <x:v>257</x:v>
      </x:c>
      <x:c r="C31" s="1" t="n">
        <x:f aca="0">0</x:f>
        <x:v>0</x:v>
      </x:c>
      <x:c r="D31" s="1" t="n">
        <x:f aca="0">CANON!B116</x:f>
        <x:v>0</x:v>
      </x:c>
      <x:c r="E31" s="20" t="str">
        <x:f aca="0">IF(AND(ISNUMBER(C31),ISNUMBER(D31)),IF(ABS(C31-D31)&lt;0.000000001,"PASS","FAIL"),IF(C31=D31,"PASS","FAIL"))</x:f>
        <x:v>PASS</x:v>
      </x:c>
      <x:c r="F31" s="1" t="s">
        <x:v>258</x:v>
      </x:c>
    </x:row>
    <x:row r="32" ht="15" hidden="0" customHeight="1">
      <x:c r="A32" s="21" t="s">
        <x:v>259</x:v>
      </x:c>
      <x:c r="B32" s="1" t="s">
        <x:v>113</x:v>
      </x:c>
      <x:c r="C32" s="1" t="str">
        <x:f aca="0">"WORKED_RUN"</x:f>
        <x:v>WORKED_RUN</x:v>
      </x:c>
      <x:c r="D32" s="1" t="str">
        <x:f aca="0">CANON!B82</x:f>
        <x:v>WORKED_RUN</x:v>
      </x:c>
      <x:c r="E32" s="20" t="str">
        <x:f aca="0">IF(AND(ISNUMBER(C32),ISNUMBER(D32)),IF(ABS(C32-D32)&lt;0.000000001,"PASS","FAIL"),IF(C32=D32,"PASS","FAIL"))</x:f>
        <x:v>PASS</x:v>
      </x:c>
      <x:c r="F32" s="1" t="s">
        <x:v>260</x:v>
      </x:c>
    </x:row>
    <x:row r="33" ht="15" hidden="0" customHeight="1">
      <x:c r="A33" s="1" t="s">
        <x:v>261</x:v>
      </x:c>
      <x:c r="B33" s="1" t="s">
        <x:v>262</x:v>
      </x:c>
      <x:c r="C33" s="1" t="n">
        <x:f aca="0">0</x:f>
        <x:v>0</x:v>
      </x:c>
      <x:c r="D33" s="1" t="n">
        <x:f aca="0">CANON!B117</x:f>
        <x:v>0</x:v>
      </x:c>
      <x:c r="E33" s="20" t="str">
        <x:f aca="0">IF(AND(ISNUMBER(C33),ISNUMBER(D33)),IF(ABS(C33-D33)&lt;0.000000001,"PASS","FAIL"),IF(C33=D33,"PASS","FAIL"))</x:f>
        <x:v>PASS</x:v>
      </x:c>
      <x:c r="F33" s="1" t="s">
        <x:v>263</x:v>
      </x:c>
    </x:row>
    <x:row r="34" ht="15" hidden="0" customHeight="1">
      <x:c r="A34" s="1" t="s">
        <x:v>264</x:v>
      </x:c>
      <x:c r="B34" s="1" t="s">
        <x:v>265</x:v>
      </x:c>
      <x:c r="C34" s="1" t="str">
        <x:f aca="0">"Consistent"</x:f>
        <x:v>Consistent</x:v>
      </x:c>
      <x:c r="D34" s="1" t="str">
        <x:f aca="0">"Consistent"</x:f>
        <x:v>Consistent</x:v>
      </x:c>
      <x:c r="E34" s="20" t="str">
        <x:f aca="0">IF(AND(ISNUMBER(C34),ISNUMBER(D34)),IF(ABS(C34-D34)&lt;0.000000001,"PASS","FAIL"),IF(C34=D34,"PASS","FAIL"))</x:f>
        <x:v>PASS</x:v>
      </x:c>
      <x:c r="F34" s="1" t="s">
        <x:v>266</x:v>
      </x:c>
    </x:row>
    <x:row r="35" ht="15" hidden="0" customHeight="1">
      <x:c r="A35" s="12" t="s">
        <x:v>267</x:v>
      </x:c>
      <x:c r="B35" s="1" t="s">
        <x:v>268</x:v>
      </x:c>
      <x:c r="C35" s="1" t="str">
        <x:f aca="0">"NO"</x:f>
        <x:v>NO</x:v>
      </x:c>
      <x:c r="D35" s="1" t="str">
        <x:f aca="0">Audit_Flags!B18</x:f>
        <x:v>NO</x:v>
      </x:c>
      <x:c r="E35" s="20" t="str">
        <x:f aca="0">IF(AND(ISNUMBER(C35),ISNUMBER(D35)),IF(ABS(C35-D35)&lt;0.000000001,"PASS","FAIL"),IF(C35=D35,"PASS","FAIL"))</x:f>
        <x:v>PASS</x:v>
      </x:c>
      <x:c r="F35" s="1" t="s">
        <x:v>269</x:v>
      </x:c>
    </x:row>
    <x:row r="36" ht="15" hidden="0" customHeight="1">
      <x:c r="A36" s="12"/>
    </x:row>
    <x:row r="37" ht="14.25" hidden="0" customHeight="1">
      <x:c r="A37" s="12" t="s">
        <x:v>270</x:v>
      </x:c>
    </x:row>
    <x:row r="38" ht="15" hidden="0" customHeight="1">
      <x:c r="A38" s="1" t="s">
        <x:v>271</x:v>
      </x:c>
      <x:c r="B38" s="1" t="n">
        <x:v>34</x:v>
      </x:c>
    </x:row>
    <x:row r="39" ht="14.25" hidden="0" customHeight="1">
      <x:c r="A39" s="1" t="s">
        <x:v>272</x:v>
      </x:c>
      <x:c r="B39" s="11" t="n">
        <x:f aca="0">COUNTIF(E6:E35,"PASS")+COUNTIF(E42:E45,"PASS")</x:f>
        <x:v>34</x:v>
      </x:c>
      <x:c r="C39" s="13"/>
    </x:row>
    <x:row r="40" ht="14.25" hidden="0" customHeight="1">
      <x:c r="A40" s="1" t="s">
        <x:v>273</x:v>
      </x:c>
      <x:c r="B40" s="11" t="n">
        <x:f aca="0">COUNTIF(E6:E35,"FAIL")+COUNTIF(E42:E45,"FAIL")</x:f>
        <x:v>0</x:v>
      </x:c>
    </x:row>
    <x:row r="41" ht="14.25" hidden="0" customHeight="1">
      <x:c r="A41" s="1" t="s">
        <x:v>274</x:v>
      </x:c>
      <x:c r="B41" s="11" t="str">
        <x:f aca="0">IF(B40=0,"✓ PUBLISH-READY","❌ FAILS DETECTED")</x:f>
        <x:v>✓ PUBLISH-READY</x:v>
      </x:c>
    </x:row>
    <x:row r="42" ht="12.75" hidden="0" customHeight="1">
      <x:c r="A42" s="16" t="s">
        <x:v>275</x:v>
      </x:c>
      <x:c r="B42" s="16" t="s">
        <x:v>276</x:v>
      </x:c>
      <x:c r="C42" s="16" t="n">
        <x:f aca="0">IF(CANON!$B$10=2,1,IF(CANON!$B$10=3,2,0))</x:f>
        <x:v>1</x:v>
      </x:c>
      <x:c r="D42" s="16" t="n">
        <x:f aca="0">CANON!B130</x:f>
        <x:v>1</x:v>
      </x:c>
      <x:c r="E42" s="16" t="str">
        <x:f aca="0">IF(D42&gt;=C42,"PASS","FAIL")</x:f>
        <x:v>PASS</x:v>
      </x:c>
      <x:c r="F42" s="16" t="s">
        <x:v>277</x:v>
      </x:c>
    </x:row>
    <x:row r="43" ht="12.75" hidden="0" customHeight="1">
      <x:c r="A43" s="16" t="s">
        <x:v>278</x:v>
      </x:c>
      <x:c r="B43" s="16" t="s">
        <x:v>279</x:v>
      </x:c>
      <x:c r="C43" s="16" t="s">
        <x:v>168</x:v>
      </x:c>
      <x:c r="D43" s="16" t="str">
        <x:f aca="0">CANON!B133</x:f>
        <x:v>FULL</x:v>
      </x:c>
      <x:c r="E43" s="16" t="str">
        <x:f aca="0">IF(OR(D43="FULL",D43="REDUCED"),"PASS","FAIL")</x:f>
        <x:v>PASS</x:v>
      </x:c>
      <x:c r="F43" s="16" t="s">
        <x:v>280</x:v>
      </x:c>
    </x:row>
    <x:row r="44" ht="12.75" hidden="0" customHeight="1">
      <x:c r="A44" s="16" t="s">
        <x:v>281</x:v>
      </x:c>
      <x:c r="B44" s="16" t="s">
        <x:v>282</x:v>
      </x:c>
      <x:c r="C44" s="16" t="s">
        <x:v>177</x:v>
      </x:c>
      <x:c r="D44" s="16" t="str">
        <x:f aca="0">CANON!$B$137</x:f>
        <x:v>C</x:v>
      </x:c>
      <x:c r="E44" s="16" t="str">
        <x:f aca="0">IF(OR(D44="A",D44="B",D44="C"),"PASS","FAIL")</x:f>
        <x:v>PASS</x:v>
      </x:c>
      <x:c r="F44" s="16" t="s">
        <x:v>283</x:v>
      </x:c>
      <x:c r="G44" s="1" t="s">
        <x:v>284</x:v>
      </x:c>
    </x:row>
    <x:row r="45" ht="12.75" hidden="0" customHeight="1">
      <x:c r="A45" s="16" t="s">
        <x:v>285</x:v>
      </x:c>
      <x:c r="B45" s="16" t="s">
        <x:v>286</x:v>
      </x:c>
      <x:c r="C45" s="16" t="str">
        <x:f aca="0">Config!B5</x:f>
        <x:v>SGP v4.3</x:v>
      </x:c>
      <x:c r="D45" s="16" t="str">
        <x:f aca="0">CANON!B6</x:f>
        <x:v>SGP v4.3</x:v>
      </x:c>
      <x:c r="E45" s="16" t="str">
        <x:f aca="0">IF(C45=D45,"PASS","FAIL")</x:f>
        <x:v>PASS</x:v>
      </x:c>
      <x:c r="F45" s="16" t="s">
        <x:v>287</x:v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cols>
    <x:col min="1" max="1" width="28" hidden="0" customWidth="1"/>
    <x:col min="2" max="2" width="42" hidden="0" customWidth="1"/>
  </x:cols>
  <x:sheetData>
    <x:row r="1" ht="14.25" hidden="0" customHeight="1">
      <x:c r="A1" s="22" t="s">
        <x:v>288</x:v>
      </x:c>
      <x:c r="B1" s="22"/>
      <x:c r="C1" s="22"/>
      <x:c r="D1" s="22"/>
      <x:c r="E1" s="22"/>
      <x:c r="F1" s="22"/>
      <x:c r="G1" s="22"/>
      <x:c r="H1" s="22"/>
    </x:row>
    <x:row r="2" ht="14.25" hidden="0" customHeight="1">
      <x:c r="A2" s="4" t="s">
        <x:v>28</x:v>
      </x:c>
      <x:c r="B2" s="23" t="s">
        <x:v>28</x:v>
      </x:c>
    </x:row>
    <x:row r="3" ht="14.25" hidden="0" customHeight="1">
      <x:c r="A3" s="24" t="s">
        <x:v>289</x:v>
      </x:c>
      <x:c r="B3" s="4" t="s">
        <x:v>28</x:v>
      </x:c>
    </x:row>
    <x:row r="4" ht="14.25" hidden="0" customHeight="1">
      <x:c r="A4" s="4" t="s">
        <x:v>290</x:v>
      </x:c>
      <x:c r="B4" s="4" t="s">
        <x:v>24</x:v>
      </x:c>
    </x:row>
    <x:row r="5" ht="14.25" hidden="0" customHeight="1">
      <x:c r="A5" s="4" t="s">
        <x:v>291</x:v>
      </x:c>
      <x:c r="B5" s="4" t="s">
        <x:v>26</x:v>
      </x:c>
    </x:row>
    <x:row r="6" ht="14.25" hidden="0" customHeight="1">
      <x:c r="A6" s="4" t="s">
        <x:v>292</x:v>
      </x:c>
      <x:c r="B6" s="4" t="s">
        <x:v>293</x:v>
      </x:c>
    </x:row>
    <x:row r="8" ht="13.5" hidden="0" customHeight="1"/>
    <x:row r="9" ht="14.25" hidden="0" customHeight="1">
      <x:c r="A9" s="24" t="s">
        <x:v>294</x:v>
      </x:c>
    </x:row>
    <x:row r="10" ht="14.25" hidden="0" customHeight="1">
      <x:c r="A10" s="4" t="s">
        <x:v>295</x:v>
      </x:c>
      <x:c r="B10" s="4" t="n">
        <x:f aca="0">CANON!B10</x:f>
        <x:v>2</x:v>
      </x:c>
      <x:c r="C10" s="4" t="s">
        <x:v>296</x:v>
      </x:c>
    </x:row>
    <x:row r="11" ht="14.25" hidden="0" customHeight="1">
      <x:c r="A11" s="4" t="s">
        <x:v>297</x:v>
      </x:c>
      <x:c r="B11" s="4" t="str">
        <x:f aca="0">CANON!B11</x:f>
        <x:v>ORG</x:v>
      </x:c>
      <x:c r="C11" s="4" t="s">
        <x:v>34</x:v>
      </x:c>
    </x:row>
    <x:row r="12" ht="14.25" hidden="0" customHeight="1">
      <x:c r="A12" s="4" t="s">
        <x:v>298</x:v>
      </x:c>
      <x:c r="B12" s="1" t="n">
        <x:v>0.2</x:v>
      </x:c>
    </x:row>
    <x:row r="13" ht="14.25" hidden="0" customHeight="1">
      <x:c r="A13" s="4" t="s">
        <x:v>299</x:v>
      </x:c>
      <x:c r="B13" s="4" t="str">
        <x:f aca="0">CANON!B12</x:f>
        <x:v>NO</x:v>
      </x:c>
      <x:c r="C13" s="4" t="s">
        <x:v>300</x:v>
      </x:c>
    </x:row>
    <x:row r="14" ht="14.25" hidden="0" customHeight="1">
      <x:c r="A14" s="24" t="s">
        <x:v>301</x:v>
      </x:c>
    </x:row>
    <x:row r="15" ht="14.25" hidden="0" customHeight="1">
      <x:c r="A15" s="4" t="s">
        <x:v>302</x:v>
      </x:c>
      <x:c r="B15" s="4" t="s">
        <x:v>173</x:v>
      </x:c>
      <x:c r="C15" s="4" t="s">
        <x:v>303</x:v>
      </x:c>
    </x:row>
    <x:row r="16" ht="14.25" hidden="0" customHeight="1">
      <x:c r="A16" s="4" t="s">
        <x:v>304</x:v>
      </x:c>
      <x:c r="B16" s="4" t="s">
        <x:v>305</x:v>
      </x:c>
      <x:c r="C16" s="4" t="s">
        <x:v>306</x:v>
      </x:c>
    </x:row>
    <x:row r="17" ht="14.25" hidden="0" customHeight="1">
      <x:c r="A17" s="4" t="s">
        <x:v>307</x:v>
      </x:c>
      <x:c r="B17" s="4" t="s">
        <x:v>308</x:v>
      </x:c>
      <x:c r="C17" s="4" t="s">
        <x:v>309</x:v>
      </x:c>
    </x:row>
    <x:row r="18" ht="13.5" hidden="0" customHeight="1">
      <x:c r="A18" s="4" t="s">
        <x:v>310</x:v>
      </x:c>
      <x:c r="B18" s="4" t="s">
        <x:v>311</x:v>
      </x:c>
      <x:c r="C18" s="4" t="s">
        <x:v>312</x:v>
      </x:c>
    </x:row>
    <x:row r="19" ht="14.25" hidden="0" customHeight="1">
      <x:c r="A19" s="24" t="s">
        <x:v>313</x:v>
      </x:c>
    </x:row>
    <x:row r="20" ht="14.25" hidden="0" customHeight="1">
      <x:c r="A20" s="4" t="s">
        <x:v>314</x:v>
      </x:c>
      <x:c r="B20" s="25" t="n">
        <x:f aca="0">CANON!B26</x:f>
        <x:v>0.02</x:v>
      </x:c>
      <x:c r="C20" s="4" t="s">
        <x:v>315</x:v>
      </x:c>
    </x:row>
    <x:row r="21" ht="14.25" hidden="0" customHeight="1">
      <x:c r="A21" s="4" t="s">
        <x:v>316</x:v>
      </x:c>
      <x:c r="B21" s="4" t="s">
        <x:v>76</x:v>
      </x:c>
      <x:c r="C21" s="4" t="s">
        <x:v>317</x:v>
      </x:c>
    </x:row>
    <x:row r="22" ht="14.25" hidden="0" customHeight="1">
      <x:c r="A22" s="4" t="s">
        <x:v>318</x:v>
      </x:c>
      <x:c r="B22" s="1" t="n">
        <x:v>2</x:v>
      </x:c>
      <x:c r="C22" s="4" t="s">
        <x:v>319</x:v>
      </x:c>
    </x:row>
  </x:sheetData>
  <x:mergeCells>
    <x:mergeCell ref="A1:H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sheetData>
    <x:row r="1" ht="14.25" hidden="0" customHeight="1">
      <x:c r="A1" s="26" t="s">
        <x:v>320</x:v>
      </x:c>
      <x:c r="B1" s="26"/>
      <x:c r="C1" s="26"/>
      <x:c r="D1" s="26"/>
      <x:c r="E1" s="26"/>
      <x:c r="F1" s="26"/>
      <x:c r="G1" s="26"/>
      <x:c r="H1" s="26"/>
    </x:row>
    <x:row r="2" ht="13.5" hidden="0" customHeight="1"/>
    <x:row r="3" ht="14.25" hidden="0" customHeight="1">
      <x:c r="A3" s="9" t="s">
        <x:v>321</x:v>
      </x:c>
    </x:row>
    <x:row r="4" ht="14.25" hidden="0" customHeight="1">
      <x:c r="A4" s="9" t="s">
        <x:v>57</x:v>
      </x:c>
      <x:c r="B4" s="9" t="s">
        <x:v>58</x:v>
      </x:c>
      <x:c r="C4" s="9" t="s">
        <x:v>59</x:v>
      </x:c>
      <x:c r="D4" s="9" t="s">
        <x:v>322</x:v>
      </x:c>
    </x:row>
    <x:row r="5" ht="14.25" hidden="0" customHeight="1">
      <x:c r="A5" s="27" t="s">
        <x:v>60</x:v>
      </x:c>
      <x:c r="B5" s="27" t="n">
        <x:v>1</x:v>
      </x:c>
      <x:c r="C5" s="27" t="n">
        <x:v>-0.9</x:v>
      </x:c>
      <x:c r="D5" s="27" t="s">
        <x:v>323</x:v>
      </x:c>
    </x:row>
    <x:row r="6" ht="14.25" hidden="0" customHeight="1">
      <x:c r="A6" s="27" t="s">
        <x:v>61</x:v>
      </x:c>
      <x:c r="B6" s="27" t="n">
        <x:v>2</x:v>
      </x:c>
      <x:c r="C6" s="27" t="n">
        <x:v>-0.7</x:v>
      </x:c>
      <x:c r="D6" s="27" t="s">
        <x:v>324</x:v>
      </x:c>
    </x:row>
    <x:row r="7" ht="14.25" hidden="0" customHeight="1">
      <x:c r="A7" s="27" t="s">
        <x:v>62</x:v>
      </x:c>
      <x:c r="B7" s="27" t="n">
        <x:v>3</x:v>
      </x:c>
      <x:c r="C7" s="27" t="n">
        <x:v>-0.65</x:v>
      </x:c>
      <x:c r="D7" s="27" t="s">
        <x:v>325</x:v>
      </x:c>
    </x:row>
    <x:row r="8" ht="14.25" hidden="0" customHeight="1">
      <x:c r="A8" s="27" t="s">
        <x:v>63</x:v>
      </x:c>
      <x:c r="B8" s="27" t="n">
        <x:v>4</x:v>
      </x:c>
      <x:c r="C8" s="27" t="n">
        <x:v>-0.65</x:v>
      </x:c>
      <x:c r="D8" s="27" t="s">
        <x:v>326</x:v>
      </x:c>
    </x:row>
    <x:row r="9" ht="14.25" hidden="0" customHeight="1">
      <x:c r="A9" s="27" t="s">
        <x:v>64</x:v>
      </x:c>
      <x:c r="B9" s="27" t="n">
        <x:v>5</x:v>
      </x:c>
      <x:c r="C9" s="27" t="n">
        <x:v>-0.5</x:v>
      </x:c>
      <x:c r="D9" s="27" t="s">
        <x:v>327</x:v>
      </x:c>
    </x:row>
    <x:row r="10" ht="14.25" hidden="0" customHeight="1">
      <x:c r="A10" s="27" t="s">
        <x:v>65</x:v>
      </x:c>
      <x:c r="B10" s="27" t="n">
        <x:v>6</x:v>
      </x:c>
      <x:c r="C10" s="27" t="n">
        <x:v>-0.55</x:v>
      </x:c>
      <x:c r="D10" s="27" t="s">
        <x:v>328</x:v>
      </x:c>
    </x:row>
    <x:row r="11" ht="14.25" hidden="0" customHeight="1">
      <x:c r="A11" s="27" t="s">
        <x:v>66</x:v>
      </x:c>
      <x:c r="B11" s="27" t="n">
        <x:v>7</x:v>
      </x:c>
      <x:c r="C11" s="27" t="n">
        <x:v>-0.45</x:v>
      </x:c>
      <x:c r="D11" s="27" t="s">
        <x:v>329</x:v>
      </x:c>
    </x:row>
    <x:row r="12" ht="14.25" hidden="0" customHeight="1">
      <x:c r="A12" s="27" t="s">
        <x:v>67</x:v>
      </x:c>
      <x:c r="B12" s="27" t="n">
        <x:v>8</x:v>
      </x:c>
      <x:c r="C12" s="27" t="n">
        <x:v>-0.4</x:v>
      </x:c>
      <x:c r="D12" s="27" t="s">
        <x:v>330</x:v>
      </x:c>
    </x:row>
    <x:row r="13" ht="13.5" hidden="0" customHeight="1"/>
    <x:row r="14" ht="13.5" hidden="0" customHeight="1"/>
    <x:row r="15" ht="14.25" hidden="0" customHeight="1">
      <x:c r="A15" s="9" t="s">
        <x:v>331</x:v>
      </x:c>
    </x:row>
    <x:row r="16" ht="14.25" hidden="0" customHeight="1">
      <x:c r="A16" s="27" t="s">
        <x:v>332</x:v>
      </x:c>
      <x:c r="B16" s="27" t="n">
        <x:v>0.3</x:v>
      </x:c>
    </x:row>
    <x:row r="17" ht="14.25" hidden="0" customHeight="1">
      <x:c r="A17" s="27" t="s">
        <x:v>33</x:v>
      </x:c>
      <x:c r="B17" s="27" t="n">
        <x:v>0.2</x:v>
      </x:c>
    </x:row>
    <x:row r="18" ht="14.25" hidden="0" customHeight="1">
      <x:c r="A18" s="27" t="s">
        <x:v>333</x:v>
      </x:c>
      <x:c r="B18" s="27" t="n">
        <x:v>0.15</x:v>
      </x:c>
    </x:row>
    <x:row r="19" ht="14.25" hidden="0" customHeight="1">
      <x:c r="A19" s="27" t="s">
        <x:v>334</x:v>
      </x:c>
      <x:c r="B19" s="27" t="n">
        <x:v>0.1</x:v>
      </x:c>
    </x:row>
    <x:row r="20" ht="14.25" hidden="0" customHeight="1">
      <x:c r="A20" s="27" t="s">
        <x:v>335</x:v>
      </x:c>
      <x:c r="B20" s="27" t="n">
        <x:v>0.05</x:v>
      </x:c>
    </x:row>
    <x:row r="21" ht="13.5" hidden="0" customHeight="1"/>
    <x:row r="22" ht="13.5" hidden="0" customHeight="1"/>
    <x:row r="23" ht="14.25" hidden="0" customHeight="1">
      <x:c r="A23" s="9" t="s">
        <x:v>336</x:v>
      </x:c>
    </x:row>
    <x:row r="24" ht="14.25" hidden="0" customHeight="1">
      <x:c r="A24" s="27" t="s">
        <x:v>337</x:v>
      </x:c>
      <x:c r="B24" s="27" t="n">
        <x:f aca="0">CANON!B20</x:f>
        <x:v>2</x:v>
      </x:c>
    </x:row>
    <x:row r="25" ht="14.25" hidden="0" customHeight="1">
      <x:c r="A25" s="27" t="s">
        <x:v>338</x:v>
      </x:c>
      <x:c r="B25" s="27" t="n">
        <x:f aca="0">CANON!B21</x:f>
        <x:v>1</x:v>
      </x:c>
    </x:row>
    <x:row r="26" ht="14.25" hidden="0" customHeight="1">
      <x:c r="A26" s="27" t="s">
        <x:v>339</x:v>
      </x:c>
      <x:c r="B26" s="27" t="n">
        <x:f aca="0">CANON!B22</x:f>
        <x:v>2</x:v>
      </x:c>
    </x:row>
    <x:row r="27" ht="14.25" hidden="0" customHeight="1">
      <x:c r="A27" s="27" t="s">
        <x:v>340</x:v>
      </x:c>
      <x:c r="B27" s="27" t="n">
        <x:f aca="0">CANON!B24</x:f>
        <x:v>-0.1</x:v>
      </x:c>
    </x:row>
    <x:row r="28" ht="14.25" hidden="0" customHeight="1">
      <x:c r="A28" s="27" t="s">
        <x:v>341</x:v>
      </x:c>
      <x:c r="B28" s="27" t="n">
        <x:f aca="0">CANON!B23</x:f>
        <x:v>0.05</x:v>
      </x:c>
    </x:row>
    <x:row r="29" ht="14.25" hidden="0" customHeight="1">
      <x:c r="A29" s="27" t="s">
        <x:v>135</x:v>
      </x:c>
      <x:c r="B29" s="27" t="n">
        <x:f aca="0">CANON!B25</x:f>
        <x:v>25</x:v>
      </x:c>
    </x:row>
    <x:row r="30" ht="14.25" hidden="0" customHeight="1">
      <x:c r="A30" s="27" t="s">
        <x:v>342</x:v>
      </x:c>
      <x:c r="B30" s="27" t="n">
        <x:v>0.95</x:v>
      </x:c>
    </x:row>
    <x:row r="31" ht="14.25" hidden="0" customHeight="1">
      <x:c r="A31" s="27" t="s">
        <x:v>343</x:v>
      </x:c>
      <x:c r="B31" s="27" t="n">
        <x:v>0.02</x:v>
      </x:c>
    </x:row>
    <x:row r="32" ht="14.25" hidden="0" customHeight="1">
      <x:c r="A32" s="27" t="s">
        <x:v>344</x:v>
      </x:c>
      <x:c r="B32" s="27" t="n">
        <x:v>0.1</x:v>
      </x:c>
    </x:row>
    <x:row r="33" ht="14.25" hidden="0" customHeight="1">
      <x:c r="A33" s="27" t="s">
        <x:v>345</x:v>
      </x:c>
      <x:c r="B33" s="27" t="n">
        <x:v>0.75</x:v>
      </x:c>
      <x:c r="D33" t="s">
        <x:v>346</x:v>
      </x:c>
    </x:row>
    <x:row r="34" ht="14.25" hidden="0" customHeight="1">
      <x:c r="A34" s="27" t="s">
        <x:v>347</x:v>
      </x:c>
      <x:c r="B34" s="27" t="n">
        <x:v>1.25</x:v>
      </x:c>
      <x:c r="D34" t="s">
        <x:v>348</x:v>
      </x:c>
    </x:row>
    <x:row r="35" ht="13.5" hidden="0" customHeight="1">
      <x:c r="A35" s="1" t="s">
        <x:v>54</x:v>
      </x:c>
      <x:c r="B35" s="1" t="n">
        <x:f aca="0">CANON!B27</x:f>
        <x:v>0.083</x:v>
      </x:c>
    </x:row>
    <x:row r="36" ht="13.5" hidden="0" customHeight="1"/>
    <x:row r="37" ht="14.25" hidden="0" customHeight="1">
      <x:c r="A37" s="9" t="s">
        <x:v>349</x:v>
      </x:c>
    </x:row>
    <x:row r="38" ht="14.25" hidden="0" customHeight="1">
      <x:c r="A38" s="1" t="s">
        <x:v>350</x:v>
      </x:c>
      <x:c r="B38" s="28">
        <x:f aca="0">PLSS_Local_Scope!E12</x:f>
        <x:v>0.3076666666666667</x:v>
      </x:c>
    </x:row>
    <x:row r="39" ht="14.25" hidden="0" customHeight="1">
      <x:c r="A39" s="1" t="s">
        <x:v>351</x:v>
      </x:c>
      <x:c r="B39" s="28">
        <x:f aca="0">PLSS_Local_Scope!E13</x:f>
        <x:v>0.15633333333333332</x:v>
      </x:c>
    </x:row>
    <x:row r="40" ht="14.25" hidden="0" customHeight="1">
      <x:c r="A40" s="1" t="s">
        <x:v>352</x:v>
      </x:c>
      <x:c r="B40" s="28">
        <x:f aca="0">PLSS_Local_Scope!E14</x:f>
        <x:v>0.12233333333333335</x:v>
      </x:c>
    </x:row>
    <x:row r="41" ht="14.25" hidden="0" customHeight="1">
      <x:c r="A41" s="1" t="s">
        <x:v>353</x:v>
      </x:c>
      <x:c r="B41" s="28">
        <x:f aca="0">PLSS_Local_Scope!E15</x:f>
        <x:v>0.11666666666666667</x:v>
      </x:c>
    </x:row>
    <x:row r="42" ht="14.25" hidden="0" customHeight="1">
      <x:c r="A42" s="1" t="s">
        <x:v>354</x:v>
      </x:c>
      <x:c r="B42" s="28">
        <x:f aca="0">PLSS_Local_Scope!E16</x:f>
        <x:v>0.09133333333333334</x:v>
      </x:c>
    </x:row>
    <x:row r="43" ht="14.25" hidden="0" customHeight="1">
      <x:c r="A43" s="1" t="s">
        <x:v>355</x:v>
      </x:c>
      <x:c r="B43" s="28" t="n">
        <x:f aca="0">PLSS_Local_Scope!E17</x:f>
        <x:v>0.1034</x:v>
      </x:c>
    </x:row>
    <x:row r="44" ht="14.25" hidden="0" customHeight="1">
      <x:c r="A44" s="1" t="s">
        <x:v>356</x:v>
      </x:c>
      <x:c r="B44" s="28">
        <x:f aca="0">PLSS_Local_Scope!E18</x:f>
        <x:v>0.10226666666666667</x:v>
      </x:c>
    </x:row>
    <x:row r="45" ht="13.5" hidden="0" customHeight="1"/>
    <x:row r="46" ht="13.5" hidden="0" customHeight="1"/>
    <x:row r="47" ht="14.25" hidden="0" customHeight="1">
      <x:c r="A47" s="9" t="s">
        <x:v>357</x:v>
      </x:c>
    </x:row>
    <x:row r="48" ht="14.25" hidden="0" customHeight="1">
      <x:c r="A48" s="1" t="s">
        <x:v>358</x:v>
      </x:c>
      <x:c r="B48" s="28" t="n">
        <x:v>0.142857142857143</x:v>
      </x:c>
    </x:row>
    <x:row r="49" ht="14.25" hidden="0" customHeight="1">
      <x:c r="A49" s="1" t="s">
        <x:v>359</x:v>
      </x:c>
      <x:c r="B49" s="28" t="n">
        <x:v>0.142857142857143</x:v>
      </x:c>
    </x:row>
    <x:row r="50" ht="14.25" hidden="0" customHeight="1">
      <x:c r="A50" s="1" t="s">
        <x:v>360</x:v>
      </x:c>
      <x:c r="B50" s="28" t="n">
        <x:v>0.142857142857143</x:v>
      </x:c>
    </x:row>
    <x:row r="51" ht="14.25" hidden="0" customHeight="1">
      <x:c r="A51" s="1" t="s">
        <x:v>361</x:v>
      </x:c>
      <x:c r="B51" s="28" t="n">
        <x:v>0.142857142857143</x:v>
      </x:c>
    </x:row>
    <x:row r="52" ht="14.25" hidden="0" customHeight="1">
      <x:c r="A52" s="1" t="s">
        <x:v>362</x:v>
      </x:c>
      <x:c r="B52" s="28" t="n">
        <x:v>0.142857142857143</x:v>
      </x:c>
    </x:row>
    <x:row r="53" ht="14.25" hidden="0" customHeight="1">
      <x:c r="A53" s="1" t="s">
        <x:v>363</x:v>
      </x:c>
      <x:c r="B53" s="28" t="n">
        <x:v>0.142857142857143</x:v>
      </x:c>
    </x:row>
    <x:row r="54" ht="14.25" hidden="0" customHeight="1">
      <x:c r="A54" s="1" t="s">
        <x:v>364</x:v>
      </x:c>
      <x:c r="B54" s="28" t="n">
        <x:v>0.142857142857143</x:v>
      </x:c>
    </x:row>
    <x:row r="55" ht="13.5" hidden="0" customHeight="1"/>
    <x:row r="56" ht="13.5" hidden="0" customHeight="1"/>
    <x:row r="57" ht="14.25" hidden="0" customHeight="1">
      <x:c r="A57" s="1" t="s">
        <x:v>365</x:v>
      </x:c>
    </x:row>
    <x:row r="58" ht="14.25" hidden="0" customHeight="1">
      <x:c r="A58" s="1" t="s">
        <x:v>366</x:v>
      </x:c>
    </x:row>
    <x:row r="59" ht="14.25" hidden="0" customHeight="1">
      <x:c r="A59" s="1" t="s">
        <x:v>367</x:v>
      </x:c>
    </x:row>
    <x:row r="60" ht="13.5" hidden="0" customHeight="1">
      <x:c r="A60" s="29" t="s">
        <x:v>368</x:v>
      </x:c>
    </x:row>
    <x:row r="61" ht="13.5" hidden="0" customHeight="1">
      <x:c r="A61" s="18" t="s">
        <x:v>369</x:v>
      </x:c>
    </x:row>
  </x:sheetData>
  <x:mergeCells>
    <x:mergeCell ref="A1:H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4.25"/>
  <x:cols>
    <x:col min="1" max="1" width="28" style="1" hidden="0" customWidth="1"/>
    <x:col min="2" max="5" width="72" style="1" hidden="0" customWidth="1"/>
    <x:col min="6" max="6" width="18" style="1" hidden="0" customWidth="1"/>
    <x:col min="7" max="7" width="34" style="1" hidden="0" customWidth="1"/>
    <x:col min="8" max="8" width="22" hidden="0" customWidth="1"/>
    <x:col min="9" max="9" width="44" hidden="0" customWidth="1"/>
  </x:cols>
  <x:sheetData>
    <x:row r="1" ht="17.25" hidden="0" customHeight="1">
      <x:c r="A1" s="30" t="s">
        <x:v>370</x:v>
      </x:c>
      <x:c r="B1" s="30"/>
      <x:c r="C1" s="30"/>
      <x:c r="D1" s="30"/>
      <x:c r="E1" s="30"/>
      <x:c r="F1" s="30"/>
      <x:c r="G1" s="30"/>
    </x:row>
    <x:row r="2" ht="14.25" hidden="0" customHeight="1">
      <x:c r="A2" s="31" t="s">
        <x:v>371</x:v>
      </x:c>
      <x:c r="B2" s="1" t="s">
        <x:v>372</x:v>
      </x:c>
    </x:row>
    <x:row r="3" ht="14.25" hidden="0" customHeight="1">
      <x:c r="A3" s="31" t="s">
        <x:v>373</x:v>
      </x:c>
      <x:c r="B3" s="1" t="str">
        <x:f aca="0">CANON!B5</x:f>
        <x:v>RippleLogic v9.0</x:v>
      </x:c>
    </x:row>
    <x:row r="4" ht="14.25" hidden="0" customHeight="1">
      <x:c r="A4" s="31" t="s">
        <x:v>374</x:v>
      </x:c>
      <x:c r="B4" s="1" t="str">
        <x:f aca="0">CANON!B6</x:f>
        <x:v>SGP v4.3</x:v>
      </x:c>
    </x:row>
    <x:row r="5" ht="14.25" hidden="0" customHeight="1">
      <x:c r="A5" s="31" t="s">
        <x:v>375</x:v>
      </x:c>
      <x:c r="B5" s="1" t="str">
        <x:f aca="0">CANON!B7</x:f>
        <x:v>v2.3</x:v>
      </x:c>
    </x:row>
    <x:row r="6" ht="14.25" hidden="0" customHeight="1">
      <x:c r="A6" s="31" t="s">
        <x:v>376</x:v>
      </x:c>
      <x:c r="B6" s="1" t="str">
        <x:f aca="0">Config!B17</x:f>
        <x:v>PLSS_LOCAL</x:v>
      </x:c>
    </x:row>
    <x:row r="7" ht="13.800000190734863" hidden="0"/>
    <x:row r="8" ht="14.25" hidden="0" customHeight="1">
      <x:c r="A8" s="31" t="s">
        <x:v>377</x:v>
      </x:c>
      <x:c r="B8" s="1" t="s">
        <x:v>378</x:v>
      </x:c>
    </x:row>
    <x:row r="9" ht="13.800000190734863" hidden="0"/>
    <x:row r="10" ht="14.25" hidden="0" customHeight="1">
      <x:c r="A10" s="32" t="s">
        <x:v>379</x:v>
      </x:c>
      <x:c r="B10" s="32" t="s">
        <x:v>380</x:v>
      </x:c>
      <x:c r="C10" s="32" t="s">
        <x:v>381</x:v>
      </x:c>
      <x:c r="D10" s="32" t="s">
        <x:v>382</x:v>
      </x:c>
      <x:c r="E10" s="32" t="s">
        <x:v>383</x:v>
      </x:c>
      <x:c r="F10" s="32" t="s">
        <x:v>384</x:v>
      </x:c>
      <x:c r="G10" s="32" t="s">
        <x:v>385</x:v>
      </x:c>
      <x:c r="H10" s="33" t="s">
        <x:v>386</x:v>
      </x:c>
      <x:c r="I10" s="33" t="s">
        <x:v>387</x:v>
      </x:c>
    </x:row>
    <x:row r="11" ht="14.25" hidden="0" customHeight="1">
      <x:c r="A11" s="34"/>
      <x:c r="B11" s="34"/>
      <x:c r="C11" s="34"/>
      <x:c r="D11" s="34"/>
      <x:c r="E11" s="34"/>
      <x:c r="F11" s="34"/>
      <x:c r="G11" s="34"/>
    </x:row>
    <x:row r="12" ht="14.25" hidden="0" customHeight="1">
      <x:c r="A12" s="34" t="s">
        <x:v>350</x:v>
      </x:c>
      <x:c r="B12" s="34" t="n">
        <x:v>0.95</x:v>
      </x:c>
      <x:c r="C12" s="34" t="n">
        <x:v>0.2</x:v>
      </x:c>
      <x:c r="D12" s="34">
        <x:f aca="0">IF(SUM($B$12:$B$18)=0,1/7,B12/SUM($B$12:$B$18))</x:f>
        <x:v>0.3166666666666667</x:v>
      </x:c>
      <x:c r="E12" s="34">
        <x:f aca="0">C12+($B$20*D12)</x:f>
        <x:v>0.3076666666666667</x:v>
      </x:c>
      <x:c r="F12" s="34" t="str">
        <x:f aca="0">IF(E12-C12&gt;=0.05,"Prominent","Guardrail")</x:f>
        <x:v>Prominent</x:v>
      </x:c>
      <x:c r="G12" s="34" t="s">
        <x:v>388</x:v>
      </x:c>
      <x:c r="H12" s="35" t="s">
        <x:v>389</x:v>
      </x:c>
      <x:c r="I12" s="35" t="s">
        <x:v>390</x:v>
      </x:c>
    </x:row>
    <x:row r="13" ht="14.25" hidden="0" customHeight="1">
      <x:c r="A13" s="34" t="s">
        <x:v>391</x:v>
      </x:c>
      <x:c r="B13" s="34" t="n">
        <x:v>0.85</x:v>
      </x:c>
      <x:c r="C13" s="34" t="n">
        <x:v>0.06</x:v>
      </x:c>
      <x:c r="D13" s="34">
        <x:f aca="0">IF(SUM($B$12:$B$18)=0,1/7,B13/SUM($B$12:$B$18))</x:f>
        <x:v>0.2833333333333334</x:v>
      </x:c>
      <x:c r="E13" s="34">
        <x:f aca="0">C13+($B$20*D13)</x:f>
        <x:v>0.15633333333333332</x:v>
      </x:c>
      <x:c r="F13" s="34" t="str">
        <x:f aca="0">IF(E13-C13&gt;=0.05,"Prominent","Guardrail")</x:f>
        <x:v>Prominent</x:v>
      </x:c>
      <x:c r="G13" s="34" t="s">
        <x:v>392</x:v>
      </x:c>
      <x:c r="H13" s="35" t="s">
        <x:v>389</x:v>
      </x:c>
      <x:c r="I13" s="35" t="s">
        <x:v>393</x:v>
      </x:c>
    </x:row>
    <x:row r="14" ht="14.25" hidden="0" customHeight="1">
      <x:c r="A14" s="34" t="s">
        <x:v>352</x:v>
      </x:c>
      <x:c r="B14" s="34" t="n">
        <x:v>0.55</x:v>
      </x:c>
      <x:c r="C14" s="34" t="n">
        <x:v>0.06</x:v>
      </x:c>
      <x:c r="D14" s="34">
        <x:f aca="0">IF(SUM($B$12:$B$18)=0,1/7,B14/SUM($B$12:$B$18))</x:f>
        <x:v>0.18333333333333338</x:v>
      </x:c>
      <x:c r="E14" s="34">
        <x:f aca="0">C14+($B$20*D14)</x:f>
        <x:v>0.12233333333333335</x:v>
      </x:c>
      <x:c r="F14" s="34" t="str">
        <x:f aca="0">IF(E14-C14&gt;=0.05,"Prominent","Guardrail")</x:f>
        <x:v>Prominent</x:v>
      </x:c>
      <x:c r="G14" s="34" t="s">
        <x:v>394</x:v>
      </x:c>
      <x:c r="H14" s="35" t="s">
        <x:v>389</x:v>
      </x:c>
      <x:c r="I14" s="35" t="s">
        <x:v>395</x:v>
      </x:c>
    </x:row>
    <x:row r="15" ht="14.25" hidden="0" customHeight="1">
      <x:c r="A15" s="34" t="s">
        <x:v>353</x:v>
      </x:c>
      <x:c r="B15" s="34" t="n">
        <x:v>0.5</x:v>
      </x:c>
      <x:c r="C15" s="34" t="n">
        <x:v>0.06</x:v>
      </x:c>
      <x:c r="D15" s="34">
        <x:f aca="0">IF(SUM($B$12:$B$18)=0,1/7,B15/SUM($B$12:$B$18))</x:f>
        <x:v>0.16666666666666669</x:v>
      </x:c>
      <x:c r="E15" s="34">
        <x:f aca="0">C15+($B$20*D15)</x:f>
        <x:v>0.11666666666666667</x:v>
      </x:c>
      <x:c r="F15" s="34" t="str">
        <x:f aca="0">IF(E15-C15&gt;=0.05,"Prominent","Guardrail")</x:f>
        <x:v>Prominent</x:v>
      </x:c>
      <x:c r="G15" s="34" t="s">
        <x:v>396</x:v>
      </x:c>
      <x:c r="H15" s="35" t="s">
        <x:v>389</x:v>
      </x:c>
      <x:c r="I15" s="35" t="s">
        <x:v>397</x:v>
      </x:c>
    </x:row>
    <x:row r="16" ht="14.25" hidden="0" customHeight="1">
      <x:c r="A16" s="34" t="s">
        <x:v>354</x:v>
      </x:c>
      <x:c r="B16" s="34" t="n">
        <x:v>0.1</x:v>
      </x:c>
      <x:c r="C16" s="34" t="n">
        <x:v>0.08</x:v>
      </x:c>
      <x:c r="D16" s="34">
        <x:f aca="0">IF(SUM($B$12:$B$18)=0,1/7,B16/SUM($B$12:$B$18))</x:f>
        <x:v>0.03333333333333334</x:v>
      </x:c>
      <x:c r="E16" s="34">
        <x:f aca="0">C16+($B$20*D16)</x:f>
        <x:v>0.09133333333333334</x:v>
      </x:c>
      <x:c r="F16" s="34" t="str">
        <x:f aca="0">IF(E16-C16&gt;=0.05,"Prominent","Guardrail")</x:f>
        <x:v>Guardrail</x:v>
      </x:c>
      <x:c r="G16" s="34" t="s">
        <x:v>398</x:v>
      </x:c>
      <x:c r="H16" s="35" t="s">
        <x:v>399</x:v>
      </x:c>
      <x:c r="I16" s="35" t="s">
        <x:v>400</x:v>
      </x:c>
    </x:row>
    <x:row r="17" ht="27.75" hidden="0" customHeight="1">
      <x:c r="A17" s="34" t="s">
        <x:v>355</x:v>
      </x:c>
      <x:c r="B17" s="34" t="n">
        <x:v>0.03</x:v>
      </x:c>
      <x:c r="C17" s="34" t="n">
        <x:v>0.1</x:v>
      </x:c>
      <x:c r="D17" s="34">
        <x:f aca="0">IF(SUM($B$12:$B$18)=0,1/7,B17/SUM($B$12:$B$18))</x:f>
        <x:v>0.010000000000000002</x:v>
      </x:c>
      <x:c r="E17" s="34" t="n">
        <x:f aca="0">C17+($B$20*D17)</x:f>
        <x:v>0.1034</x:v>
      </x:c>
      <x:c r="F17" s="34" t="str">
        <x:f aca="0">IF(E17-C17&gt;=0.05,"Prominent","Guardrail")</x:f>
        <x:v>Guardrail</x:v>
      </x:c>
      <x:c r="G17" s="34" t="s">
        <x:v>401</x:v>
      </x:c>
      <x:c r="H17" s="35" t="s">
        <x:v>399</x:v>
      </x:c>
      <x:c r="I17" s="35" t="s">
        <x:v>402</x:v>
      </x:c>
    </x:row>
    <x:row r="18" ht="14.25" hidden="0" customHeight="1">
      <x:c r="A18" s="34" t="s">
        <x:v>356</x:v>
      </x:c>
      <x:c r="B18" s="34" t="n">
        <x:v>0.02</x:v>
      </x:c>
      <x:c r="C18" s="34" t="n">
        <x:v>0.1</x:v>
      </x:c>
      <x:c r="D18" s="34">
        <x:f aca="0">IF(SUM($B$12:$B$18)=0,1/7,B18/SUM($B$12:$B$18))</x:f>
        <x:v>0.006666666666666668</x:v>
      </x:c>
      <x:c r="E18" s="34">
        <x:f aca="0">C18+($B$20*D18)</x:f>
        <x:v>0.10226666666666667</x:v>
      </x:c>
      <x:c r="F18" s="34" t="str">
        <x:f aca="0">IF(E18-C18&gt;=0.05,"Prominent","Guardrail")</x:f>
        <x:v>Guardrail</x:v>
      </x:c>
      <x:c r="G18" s="34" t="s">
        <x:v>403</x:v>
      </x:c>
      <x:c r="H18" s="35" t="s">
        <x:v>399</x:v>
      </x:c>
      <x:c r="I18" s="35" t="s">
        <x:v>404</x:v>
      </x:c>
    </x:row>
    <x:row r="19" ht="14.25" hidden="0" customHeight="1">
      <x:c r="A19" s="34"/>
      <x:c r="B19" s="34"/>
      <x:c r="C19" s="34"/>
      <x:c r="D19" s="34"/>
      <x:c r="E19" s="34"/>
      <x:c r="F19" s="34"/>
      <x:c r="G19" s="34"/>
    </x:row>
    <x:row r="20" ht="14.25" hidden="0" customHeight="1">
      <x:c r="A20" s="36" t="s">
        <x:v>405</x:v>
      </x:c>
      <x:c r="B20" s="34">
        <x:f aca="0">1-SUM($C$12:$C$18)</x:f>
        <x:v>0.33999999999999997</x:v>
      </x:c>
      <x:c r="C20" s="34"/>
      <x:c r="D20" s="34"/>
      <x:c r="E20" s="34"/>
      <x:c r="F20" s="34"/>
      <x:c r="G20" s="34"/>
    </x:row>
    <x:row r="21" ht="14.25" hidden="0" customHeight="1">
      <x:c r="A21" s="36" t="s">
        <x:v>406</x:v>
      </x:c>
      <x:c r="B21" s="34">
        <x:f aca="0">SUM($E$12:$E$18)</x:f>
        <x:v>1.0000000000000002</x:v>
      </x:c>
      <x:c r="C21" s="34"/>
      <x:c r="D21" s="34"/>
      <x:c r="E21" s="34"/>
      <x:c r="F21" s="34"/>
      <x:c r="G21" s="34"/>
    </x:row>
    <x:row r="22" ht="14.25" hidden="0" customHeight="1">
      <x:c r="A22" s="36" t="s">
        <x:v>407</x:v>
      </x:c>
      <x:c r="B22" s="34" t="str">
        <x:f aca="0">IF(MIN(E12-C12,E13-C13,E14-C14,E15-C15,E16-C16,E17-C17,E18-C18)&gt;=0,"YES","REVIEW")</x:f>
        <x:v>YES</x:v>
      </x:c>
      <x:c r="C22" s="34"/>
      <x:c r="D22" s="34"/>
      <x:c r="E22" s="34"/>
      <x:c r="F22" s="34"/>
      <x:c r="G22" s="34"/>
    </x:row>
    <x:row r="23" ht="14.25" hidden="0" customHeight="1">
      <x:c r="A23" s="36" t="s">
        <x:v>408</x:v>
      </x:c>
      <x:c r="B23" s="34" t="str">
        <x:f aca="0">IF(OR(B17&gt;0.2,B18&gt;0.2),"ESCALATE_OR_FULL_SCOPE","PLSS_OK")</x:f>
        <x:v>PLSS_OK</x:v>
      </x:c>
      <x:c r="C23" s="34"/>
      <x:c r="D23" s="34"/>
      <x:c r="E23" s="34"/>
      <x:c r="F23" s="34"/>
      <x:c r="G23" s="34"/>
    </x:row>
    <x:row r="24" ht="27.75" hidden="0" customHeight="1">
      <x:c r="A24" s="36" t="s">
        <x:v>409</x:v>
      </x:c>
      <x:c r="B24" s="34" t="s">
        <x:v>410</x:v>
      </x:c>
      <x:c r="C24" s="34"/>
      <x:c r="D24" s="34"/>
      <x:c r="E24" s="34"/>
      <x:c r="F24" s="34"/>
      <x:c r="G24" s="34"/>
    </x:row>
    <x:row r="25" ht="13.800000190734863" hidden="0"/>
    <x:row r="26" ht="17.350000381469727" hidden="0">
      <x:c r="A26" s="37" t="s">
        <x:v>411</x:v>
      </x:c>
      <x:c r="B26" s="37"/>
    </x:row>
    <x:row r="27" ht="36" hidden="0" customHeight="1">
      <x:c r="A27" s="38" t="s">
        <x:v>412</x:v>
      </x:c>
      <x:c r="B27" s="39" t="s">
        <x:v>413</x:v>
      </x:c>
    </x:row>
    <x:row r="28" ht="31.5" hidden="0" customHeight="1">
      <x:c r="A28" s="38" t="s">
        <x:v>414</x:v>
      </x:c>
      <x:c r="B28" s="39" t="s">
        <x:v>415</x:v>
      </x:c>
    </x:row>
    <x:row r="29" ht="30" hidden="0" customHeight="1">
      <x:c r="A29" s="38" t="s">
        <x:v>416</x:v>
      </x:c>
      <x:c r="B29" s="39" t="s">
        <x:v>417</x:v>
      </x:c>
    </x:row>
    <x:row r="30" ht="54" hidden="0" customHeight="1">
      <x:c r="A30" s="38" t="s">
        <x:v>418</x:v>
      </x:c>
      <x:c r="B30" s="39" t="s">
        <x:v>419</x:v>
      </x:c>
    </x:row>
    <x:row r="31" ht="36" hidden="0" customHeight="1">
      <x:c r="A31" s="38" t="s">
        <x:v>420</x:v>
      </x:c>
      <x:c r="B31" s="39" t="s">
        <x:v>421</x:v>
      </x:c>
    </x:row>
  </x:sheetData>
  <x:mergeCells>
    <x:mergeCell ref="A1:G1"/>
    <x:mergeCell ref="B24:G24"/>
    <x:mergeCell ref="A26:B26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sheetData>
    <x:row r="1" ht="14.25" hidden="0" customHeight="1">
      <x:c r="A1" s="26" t="s">
        <x:v>422</x:v>
      </x:c>
      <x:c r="B1" s="26"/>
      <x:c r="C1" s="26"/>
      <x:c r="D1" s="26"/>
      <x:c r="E1" s="26"/>
      <x:c r="F1" s="26"/>
      <x:c r="G1" s="26"/>
      <x:c r="H1" s="26"/>
    </x:row>
    <x:row r="2" ht="13.5" hidden="0" customHeight="1"/>
    <x:row r="3" ht="14.25" hidden="0" customHeight="1">
      <x:c r="A3" s="1" t="s">
        <x:v>423</x:v>
      </x:c>
    </x:row>
    <x:row r="4" ht="13.5" hidden="0" customHeight="1"/>
    <x:row r="5" ht="14.25" hidden="0" customHeight="1">
      <x:c r="A5" s="40" t="s">
        <x:v>424</x:v>
      </x:c>
      <x:c r="B5" s="40" t="s">
        <x:v>57</x:v>
      </x:c>
      <x:c r="C5" s="40" t="s">
        <x:v>425</x:v>
      </x:c>
      <x:c r="D5" s="40" t="s">
        <x:v>426</x:v>
      </x:c>
      <x:c r="E5" s="40" t="s">
        <x:v>59</x:v>
      </x:c>
    </x:row>
    <x:row r="6" ht="14.25" hidden="0" customHeight="1">
      <x:c r="A6" s="1" t="s">
        <x:v>424</x:v>
      </x:c>
      <x:c r="B6" s="1" t="s">
        <x:v>57</x:v>
      </x:c>
      <x:c r="C6" s="1" t="s">
        <x:v>425</x:v>
      </x:c>
      <x:c r="D6" s="1" t="s">
        <x:v>426</x:v>
      </x:c>
      <x:c r="E6" s="1" t="s">
        <x:v>59</x:v>
      </x:c>
    </x:row>
    <x:row r="7" ht="14.25" hidden="0" customHeight="1">
      <x:c r="A7" s="1" t="n">
        <x:v>1</x:v>
      </x:c>
      <x:c r="B7" s="1" t="s">
        <x:v>60</x:v>
      </x:c>
      <x:c r="C7" s="1" t="s">
        <x:v>427</x:v>
      </x:c>
      <x:c r="D7" s="10" t="s">
        <x:v>428</x:v>
      </x:c>
      <x:c r="E7" s="10" t="n">
        <x:v>-0.9</x:v>
      </x:c>
    </x:row>
    <x:row r="8" ht="14.25" hidden="0" customHeight="1">
      <x:c r="A8" s="1" t="n">
        <x:v>2</x:v>
      </x:c>
      <x:c r="B8" s="1" t="s">
        <x:v>60</x:v>
      </x:c>
      <x:c r="C8" s="1" t="s">
        <x:v>429</x:v>
      </x:c>
      <x:c r="D8" s="10" t="s">
        <x:v>428</x:v>
      </x:c>
      <x:c r="E8" s="10" t="n">
        <x:v>-0.9</x:v>
      </x:c>
    </x:row>
    <x:row r="9" ht="14.25" hidden="0" customHeight="1">
      <x:c r="A9" s="1" t="n">
        <x:v>3</x:v>
      </x:c>
      <x:c r="B9" s="1" t="s">
        <x:v>60</x:v>
      </x:c>
      <x:c r="C9" s="1" t="s">
        <x:v>430</x:v>
      </x:c>
      <x:c r="D9" s="10" t="s">
        <x:v>428</x:v>
      </x:c>
      <x:c r="E9" s="10" t="n">
        <x:v>-0.9</x:v>
      </x:c>
    </x:row>
    <x:row r="10" ht="14.25" hidden="0" customHeight="1">
      <x:c r="A10" s="1" t="n">
        <x:v>4</x:v>
      </x:c>
      <x:c r="B10" s="1" t="s">
        <x:v>60</x:v>
      </x:c>
      <x:c r="C10" s="1" t="s">
        <x:v>431</x:v>
      </x:c>
      <x:c r="D10" s="10" t="s">
        <x:v>428</x:v>
      </x:c>
      <x:c r="E10" s="10" t="n">
        <x:v>-0.9</x:v>
      </x:c>
    </x:row>
    <x:row r="11" ht="14.25" hidden="0" customHeight="1">
      <x:c r="A11" s="1" t="n">
        <x:v>5</x:v>
      </x:c>
      <x:c r="B11" s="1" t="s">
        <x:v>60</x:v>
      </x:c>
      <x:c r="C11" s="1" t="s">
        <x:v>432</x:v>
      </x:c>
      <x:c r="D11" s="10" t="s">
        <x:v>428</x:v>
      </x:c>
      <x:c r="E11" s="10" t="n">
        <x:v>-0.9</x:v>
      </x:c>
    </x:row>
    <x:row r="12" ht="14.25" hidden="0" customHeight="1">
      <x:c r="A12" s="1" t="n">
        <x:v>6</x:v>
      </x:c>
      <x:c r="B12" s="1" t="s">
        <x:v>60</x:v>
      </x:c>
      <x:c r="C12" s="1" t="s">
        <x:v>433</x:v>
      </x:c>
      <x:c r="D12" s="10" t="s">
        <x:v>428</x:v>
      </x:c>
      <x:c r="E12" s="10" t="n">
        <x:v>-0.9</x:v>
      </x:c>
    </x:row>
    <x:row r="13" ht="14.25" hidden="0" customHeight="1">
      <x:c r="A13" s="1" t="n">
        <x:v>7</x:v>
      </x:c>
      <x:c r="B13" s="1" t="s">
        <x:v>60</x:v>
      </x:c>
      <x:c r="C13" s="1" t="s">
        <x:v>433</x:v>
      </x:c>
      <x:c r="D13" s="10" t="s">
        <x:v>434</x:v>
      </x:c>
      <x:c r="E13" s="10" t="n">
        <x:v>-0.9</x:v>
      </x:c>
    </x:row>
    <x:row r="14" ht="14.25" hidden="0" customHeight="1">
      <x:c r="A14" s="1" t="n">
        <x:v>8</x:v>
      </x:c>
      <x:c r="B14" s="1" t="s">
        <x:v>61</x:v>
      </x:c>
      <x:c r="C14" s="1" t="s">
        <x:v>427</x:v>
      </x:c>
      <x:c r="D14" s="10" t="s">
        <x:v>428</x:v>
      </x:c>
      <x:c r="E14" s="10" t="n">
        <x:v>-0.7</x:v>
      </x:c>
    </x:row>
    <x:row r="15" ht="14.25" hidden="0" customHeight="1">
      <x:c r="A15" s="1" t="n">
        <x:v>9</x:v>
      </x:c>
      <x:c r="B15" s="1" t="s">
        <x:v>61</x:v>
      </x:c>
      <x:c r="C15" s="1" t="s">
        <x:v>429</x:v>
      </x:c>
      <x:c r="D15" s="10" t="s">
        <x:v>428</x:v>
      </x:c>
      <x:c r="E15" s="10" t="n">
        <x:v>-0.7</x:v>
      </x:c>
    </x:row>
    <x:row r="16" ht="14.25" hidden="0" customHeight="1">
      <x:c r="A16" s="1" t="n">
        <x:v>10</x:v>
      </x:c>
      <x:c r="B16" s="1" t="s">
        <x:v>61</x:v>
      </x:c>
      <x:c r="C16" s="1" t="s">
        <x:v>430</x:v>
      </x:c>
      <x:c r="D16" s="10" t="s">
        <x:v>428</x:v>
      </x:c>
      <x:c r="E16" s="10" t="n">
        <x:v>-0.7</x:v>
      </x:c>
    </x:row>
    <x:row r="17" ht="14.25" hidden="0" customHeight="1">
      <x:c r="A17" s="1" t="n">
        <x:v>11</x:v>
      </x:c>
      <x:c r="B17" s="1" t="s">
        <x:v>61</x:v>
      </x:c>
      <x:c r="C17" s="1" t="s">
        <x:v>431</x:v>
      </x:c>
      <x:c r="D17" s="10" t="s">
        <x:v>428</x:v>
      </x:c>
      <x:c r="E17" s="10" t="n">
        <x:v>-0.7</x:v>
      </x:c>
    </x:row>
    <x:row r="18" ht="14.25" hidden="0" customHeight="1">
      <x:c r="A18" s="1" t="n">
        <x:v>12</x:v>
      </x:c>
      <x:c r="B18" s="1" t="s">
        <x:v>61</x:v>
      </x:c>
      <x:c r="C18" s="1" t="s">
        <x:v>432</x:v>
      </x:c>
      <x:c r="D18" s="10" t="s">
        <x:v>428</x:v>
      </x:c>
      <x:c r="E18" s="10" t="n">
        <x:v>-0.7</x:v>
      </x:c>
    </x:row>
    <x:row r="19" ht="14.25" hidden="0" customHeight="1">
      <x:c r="A19" s="1" t="n">
        <x:v>13</x:v>
      </x:c>
      <x:c r="B19" s="1" t="s">
        <x:v>61</x:v>
      </x:c>
      <x:c r="C19" s="1" t="s">
        <x:v>433</x:v>
      </x:c>
      <x:c r="D19" s="10" t="s">
        <x:v>428</x:v>
      </x:c>
      <x:c r="E19" s="10" t="n">
        <x:v>-0.7</x:v>
      </x:c>
    </x:row>
    <x:row r="20" ht="14.25" hidden="0" customHeight="1">
      <x:c r="A20" s="1" t="n">
        <x:v>14</x:v>
      </x:c>
      <x:c r="B20" s="1" t="s">
        <x:v>62</x:v>
      </x:c>
      <x:c r="C20" s="1" t="s">
        <x:v>433</x:v>
      </x:c>
      <x:c r="D20" s="10" t="s">
        <x:v>434</x:v>
      </x:c>
      <x:c r="E20" s="10" t="n">
        <x:v>-0.65</x:v>
      </x:c>
    </x:row>
    <x:row r="21" ht="14.25" hidden="0" customHeight="1">
      <x:c r="A21" s="1" t="n">
        <x:v>15</x:v>
      </x:c>
      <x:c r="B21" s="1" t="s">
        <x:v>62</x:v>
      </x:c>
      <x:c r="C21" s="1" t="s">
        <x:v>435</x:v>
      </x:c>
      <x:c r="D21" s="10" t="s">
        <x:v>434</x:v>
      </x:c>
      <x:c r="E21" s="10" t="n">
        <x:v>-0.65</x:v>
      </x:c>
    </x:row>
    <x:row r="22" ht="14.25" hidden="0" customHeight="1">
      <x:c r="A22" s="1" t="n">
        <x:v>16</x:v>
      </x:c>
      <x:c r="B22" s="1" t="s">
        <x:v>63</x:v>
      </x:c>
      <x:c r="C22" s="1" t="s">
        <x:v>427</x:v>
      </x:c>
      <x:c r="D22" s="10" t="s">
        <x:v>436</x:v>
      </x:c>
      <x:c r="E22" s="10" t="n">
        <x:v>-0.65</x:v>
      </x:c>
    </x:row>
    <x:row r="23" ht="14.25" hidden="0" customHeight="1">
      <x:c r="A23" s="1" t="n">
        <x:v>17</x:v>
      </x:c>
      <x:c r="B23" s="1" t="s">
        <x:v>63</x:v>
      </x:c>
      <x:c r="C23" s="1" t="s">
        <x:v>429</x:v>
      </x:c>
      <x:c r="D23" s="10" t="s">
        <x:v>436</x:v>
      </x:c>
      <x:c r="E23" s="10" t="n">
        <x:v>-0.65</x:v>
      </x:c>
    </x:row>
    <x:row r="24" ht="14.25" hidden="0" customHeight="1">
      <x:c r="A24" s="1" t="n">
        <x:v>18</x:v>
      </x:c>
      <x:c r="B24" s="1" t="s">
        <x:v>63</x:v>
      </x:c>
      <x:c r="C24" s="1" t="s">
        <x:v>430</x:v>
      </x:c>
      <x:c r="D24" s="10" t="s">
        <x:v>436</x:v>
      </x:c>
      <x:c r="E24" s="10" t="n">
        <x:v>-0.65</x:v>
      </x:c>
    </x:row>
    <x:row r="25" ht="14.25" hidden="0" customHeight="1">
      <x:c r="A25" s="1" t="n">
        <x:v>19</x:v>
      </x:c>
      <x:c r="B25" s="1" t="s">
        <x:v>63</x:v>
      </x:c>
      <x:c r="C25" s="1" t="s">
        <x:v>431</x:v>
      </x:c>
      <x:c r="D25" s="10" t="s">
        <x:v>436</x:v>
      </x:c>
      <x:c r="E25" s="10" t="n">
        <x:v>-0.65</x:v>
      </x:c>
    </x:row>
    <x:row r="26" ht="14.25" hidden="0" customHeight="1">
      <x:c r="A26" s="1" t="n">
        <x:v>20</x:v>
      </x:c>
      <x:c r="B26" s="1" t="s">
        <x:v>63</x:v>
      </x:c>
      <x:c r="C26" s="1" t="s">
        <x:v>432</x:v>
      </x:c>
      <x:c r="D26" s="10" t="s">
        <x:v>436</x:v>
      </x:c>
      <x:c r="E26" s="10" t="n">
        <x:v>-0.65</x:v>
      </x:c>
    </x:row>
    <x:row r="27" ht="14.25" hidden="0" customHeight="1">
      <x:c r="A27" s="1" t="n">
        <x:v>21</x:v>
      </x:c>
      <x:c r="B27" s="1" t="s">
        <x:v>63</x:v>
      </x:c>
      <x:c r="C27" s="1" t="s">
        <x:v>433</x:v>
      </x:c>
      <x:c r="D27" s="10" t="s">
        <x:v>436</x:v>
      </x:c>
      <x:c r="E27" s="10" t="n">
        <x:v>-0.65</x:v>
      </x:c>
    </x:row>
    <x:row r="28" ht="14.25" hidden="0" customHeight="1">
      <x:c r="A28" s="1" t="n">
        <x:v>22</x:v>
      </x:c>
      <x:c r="B28" s="1" t="s">
        <x:v>63</x:v>
      </x:c>
      <x:c r="C28" s="1" t="s">
        <x:v>430</x:v>
      </x:c>
      <x:c r="D28" s="10" t="s">
        <x:v>437</x:v>
      </x:c>
      <x:c r="E28" s="10" t="n">
        <x:v>-0.65</x:v>
      </x:c>
    </x:row>
    <x:row r="29" ht="14.25" hidden="0" customHeight="1">
      <x:c r="A29" s="1" t="n">
        <x:v>23</x:v>
      </x:c>
      <x:c r="B29" s="1" t="s">
        <x:v>63</x:v>
      </x:c>
      <x:c r="C29" s="1" t="s">
        <x:v>431</x:v>
      </x:c>
      <x:c r="D29" s="10" t="s">
        <x:v>437</x:v>
      </x:c>
      <x:c r="E29" s="10" t="n">
        <x:v>-0.65</x:v>
      </x:c>
    </x:row>
    <x:row r="30" ht="14.25" hidden="0" customHeight="1">
      <x:c r="A30" s="1" t="n">
        <x:v>24</x:v>
      </x:c>
      <x:c r="B30" s="1" t="s">
        <x:v>63</x:v>
      </x:c>
      <x:c r="C30" s="1" t="s">
        <x:v>432</x:v>
      </x:c>
      <x:c r="D30" s="10" t="s">
        <x:v>437</x:v>
      </x:c>
      <x:c r="E30" s="10" t="n">
        <x:v>-0.65</x:v>
      </x:c>
    </x:row>
    <x:row r="31" ht="14.25" hidden="0" customHeight="1">
      <x:c r="A31" s="1" t="n">
        <x:v>25</x:v>
      </x:c>
      <x:c r="B31" s="1" t="s">
        <x:v>63</x:v>
      </x:c>
      <x:c r="C31" s="1" t="s">
        <x:v>433</x:v>
      </x:c>
      <x:c r="D31" s="10" t="s">
        <x:v>437</x:v>
      </x:c>
      <x:c r="E31" s="10" t="n">
        <x:v>-0.65</x:v>
      </x:c>
    </x:row>
    <x:row r="32" ht="14.25" hidden="0" customHeight="1">
      <x:c r="A32" s="1" t="n">
        <x:v>26</x:v>
      </x:c>
      <x:c r="B32" s="1" t="s">
        <x:v>64</x:v>
      </x:c>
      <x:c r="C32" s="1" t="s">
        <x:v>427</x:v>
      </x:c>
      <x:c r="D32" s="10" t="s">
        <x:v>438</x:v>
      </x:c>
      <x:c r="E32" s="10" t="n">
        <x:v>-0.5</x:v>
      </x:c>
    </x:row>
    <x:row r="33" ht="14.25" hidden="0" customHeight="1">
      <x:c r="A33" s="1" t="n">
        <x:v>27</x:v>
      </x:c>
      <x:c r="B33" s="1" t="s">
        <x:v>64</x:v>
      </x:c>
      <x:c r="C33" s="1" t="s">
        <x:v>427</x:v>
      </x:c>
      <x:c r="D33" s="10" t="s">
        <x:v>428</x:v>
      </x:c>
      <x:c r="E33" s="10" t="n">
        <x:v>-0.5</x:v>
      </x:c>
    </x:row>
    <x:row r="34" ht="14.25" hidden="0" customHeight="1">
      <x:c r="A34" s="1" t="n">
        <x:v>28</x:v>
      </x:c>
      <x:c r="B34" s="1" t="s">
        <x:v>64</x:v>
      </x:c>
      <x:c r="C34" s="1" t="s">
        <x:v>429</x:v>
      </x:c>
      <x:c r="D34" s="10" t="s">
        <x:v>438</x:v>
      </x:c>
      <x:c r="E34" s="10" t="n">
        <x:v>-0.5</x:v>
      </x:c>
    </x:row>
    <x:row r="35" ht="14.25" hidden="0" customHeight="1">
      <x:c r="A35" s="1" t="n">
        <x:v>29</x:v>
      </x:c>
      <x:c r="B35" s="1" t="s">
        <x:v>64</x:v>
      </x:c>
      <x:c r="C35" s="1" t="s">
        <x:v>429</x:v>
      </x:c>
      <x:c r="D35" s="10" t="s">
        <x:v>428</x:v>
      </x:c>
      <x:c r="E35" s="10" t="n">
        <x:v>-0.5</x:v>
      </x:c>
    </x:row>
    <x:row r="36" ht="14.25" hidden="0" customHeight="1">
      <x:c r="A36" s="1" t="n">
        <x:v>30</x:v>
      </x:c>
      <x:c r="B36" s="1" t="s">
        <x:v>64</x:v>
      </x:c>
      <x:c r="C36" s="1" t="s">
        <x:v>430</x:v>
      </x:c>
      <x:c r="D36" s="10" t="s">
        <x:v>438</x:v>
      </x:c>
      <x:c r="E36" s="10" t="n">
        <x:v>-0.5</x:v>
      </x:c>
    </x:row>
    <x:row r="37" ht="14.25" hidden="0" customHeight="1">
      <x:c r="A37" s="1" t="n">
        <x:v>31</x:v>
      </x:c>
      <x:c r="B37" s="1" t="s">
        <x:v>64</x:v>
      </x:c>
      <x:c r="C37" s="1" t="s">
        <x:v>430</x:v>
      </x:c>
      <x:c r="D37" s="10" t="s">
        <x:v>428</x:v>
      </x:c>
      <x:c r="E37" s="10" t="n">
        <x:v>-0.5</x:v>
      </x:c>
    </x:row>
    <x:row r="38" ht="14.25" hidden="0" customHeight="1">
      <x:c r="A38" s="1" t="n">
        <x:v>32</x:v>
      </x:c>
      <x:c r="B38" s="1" t="s">
        <x:v>64</x:v>
      </x:c>
      <x:c r="C38" s="1" t="s">
        <x:v>431</x:v>
      </x:c>
      <x:c r="D38" s="10" t="s">
        <x:v>438</x:v>
      </x:c>
      <x:c r="E38" s="10" t="n">
        <x:v>-0.5</x:v>
      </x:c>
    </x:row>
    <x:row r="39" ht="14.25" hidden="0" customHeight="1">
      <x:c r="A39" s="1" t="n">
        <x:v>33</x:v>
      </x:c>
      <x:c r="B39" s="1" t="s">
        <x:v>64</x:v>
      </x:c>
      <x:c r="C39" s="1" t="s">
        <x:v>431</x:v>
      </x:c>
      <x:c r="D39" s="10" t="s">
        <x:v>428</x:v>
      </x:c>
      <x:c r="E39" s="10" t="n">
        <x:v>-0.5</x:v>
      </x:c>
    </x:row>
    <x:row r="40" ht="14.25" hidden="0" customHeight="1">
      <x:c r="A40" s="1" t="n">
        <x:v>34</x:v>
      </x:c>
      <x:c r="B40" s="1" t="s">
        <x:v>64</x:v>
      </x:c>
      <x:c r="C40" s="1" t="s">
        <x:v>432</x:v>
      </x:c>
      <x:c r="D40" s="10" t="s">
        <x:v>438</x:v>
      </x:c>
      <x:c r="E40" s="10" t="n">
        <x:v>-0.5</x:v>
      </x:c>
    </x:row>
    <x:row r="41" ht="14.25" hidden="0" customHeight="1">
      <x:c r="A41" s="1" t="n">
        <x:v>35</x:v>
      </x:c>
      <x:c r="B41" s="1" t="s">
        <x:v>64</x:v>
      </x:c>
      <x:c r="C41" s="1" t="s">
        <x:v>432</x:v>
      </x:c>
      <x:c r="D41" s="10" t="s">
        <x:v>428</x:v>
      </x:c>
      <x:c r="E41" s="10" t="n">
        <x:v>-0.5</x:v>
      </x:c>
    </x:row>
    <x:row r="42" ht="14.25" hidden="0" customHeight="1">
      <x:c r="A42" s="1" t="n">
        <x:v>36</x:v>
      </x:c>
      <x:c r="B42" s="1" t="s">
        <x:v>64</x:v>
      </x:c>
      <x:c r="C42" s="1" t="s">
        <x:v>433</x:v>
      </x:c>
      <x:c r="D42" s="10" t="s">
        <x:v>438</x:v>
      </x:c>
      <x:c r="E42" s="10" t="n">
        <x:v>-0.5</x:v>
      </x:c>
    </x:row>
    <x:row r="43" ht="14.25" hidden="0" customHeight="1">
      <x:c r="A43" s="1" t="n">
        <x:v>37</x:v>
      </x:c>
      <x:c r="B43" s="1" t="s">
        <x:v>64</x:v>
      </x:c>
      <x:c r="C43" s="1" t="s">
        <x:v>433</x:v>
      </x:c>
      <x:c r="D43" s="10" t="s">
        <x:v>428</x:v>
      </x:c>
      <x:c r="E43" s="10" t="n">
        <x:v>-0.5</x:v>
      </x:c>
    </x:row>
    <x:row r="44" ht="14.25" hidden="0" customHeight="1">
      <x:c r="A44" s="1" t="n">
        <x:v>38</x:v>
      </x:c>
      <x:c r="B44" s="1" t="s">
        <x:v>65</x:v>
      </x:c>
      <x:c r="C44" s="1" t="s">
        <x:v>427</x:v>
      </x:c>
      <x:c r="D44" s="10" t="s">
        <x:v>437</x:v>
      </x:c>
      <x:c r="E44" s="10" t="n">
        <x:v>-0.55</x:v>
      </x:c>
    </x:row>
    <x:row r="45" ht="14.25" hidden="0" customHeight="1">
      <x:c r="A45" s="1" t="n">
        <x:v>39</x:v>
      </x:c>
      <x:c r="B45" s="1" t="s">
        <x:v>65</x:v>
      </x:c>
      <x:c r="C45" s="1" t="s">
        <x:v>427</x:v>
      </x:c>
      <x:c r="D45" s="10" t="s">
        <x:v>436</x:v>
      </x:c>
      <x:c r="E45" s="10" t="n">
        <x:v>-0.55</x:v>
      </x:c>
    </x:row>
    <x:row r="46" ht="14.25" hidden="0" customHeight="1">
      <x:c r="A46" s="1" t="n">
        <x:v>40</x:v>
      </x:c>
      <x:c r="B46" s="1" t="s">
        <x:v>65</x:v>
      </x:c>
      <x:c r="C46" s="1" t="s">
        <x:v>429</x:v>
      </x:c>
      <x:c r="D46" s="10" t="s">
        <x:v>437</x:v>
      </x:c>
      <x:c r="E46" s="10" t="n">
        <x:v>-0.55</x:v>
      </x:c>
    </x:row>
    <x:row r="47" ht="14.25" hidden="0" customHeight="1">
      <x:c r="A47" s="1" t="n">
        <x:v>41</x:v>
      </x:c>
      <x:c r="B47" s="1" t="s">
        <x:v>65</x:v>
      </x:c>
      <x:c r="C47" s="1" t="s">
        <x:v>429</x:v>
      </x:c>
      <x:c r="D47" s="10" t="s">
        <x:v>436</x:v>
      </x:c>
      <x:c r="E47" s="10" t="n">
        <x:v>-0.55</x:v>
      </x:c>
    </x:row>
    <x:row r="48" ht="14.25" hidden="0" customHeight="1">
      <x:c r="A48" s="1" t="n">
        <x:v>42</x:v>
      </x:c>
      <x:c r="B48" s="1" t="s">
        <x:v>65</x:v>
      </x:c>
      <x:c r="C48" s="1" t="s">
        <x:v>430</x:v>
      </x:c>
      <x:c r="D48" s="10" t="s">
        <x:v>437</x:v>
      </x:c>
      <x:c r="E48" s="10" t="n">
        <x:v>-0.55</x:v>
      </x:c>
    </x:row>
    <x:row r="49" ht="14.25" hidden="0" customHeight="1">
      <x:c r="A49" s="1" t="n">
        <x:v>43</x:v>
      </x:c>
      <x:c r="B49" s="1" t="s">
        <x:v>65</x:v>
      </x:c>
      <x:c r="C49" s="1" t="s">
        <x:v>430</x:v>
      </x:c>
      <x:c r="D49" s="10" t="s">
        <x:v>436</x:v>
      </x:c>
      <x:c r="E49" s="10" t="n">
        <x:v>-0.55</x:v>
      </x:c>
    </x:row>
    <x:row r="50" ht="14.25" hidden="0" customHeight="1">
      <x:c r="A50" s="1" t="n">
        <x:v>44</x:v>
      </x:c>
      <x:c r="B50" s="1" t="s">
        <x:v>65</x:v>
      </x:c>
      <x:c r="C50" s="1" t="s">
        <x:v>431</x:v>
      </x:c>
      <x:c r="D50" s="10" t="s">
        <x:v>437</x:v>
      </x:c>
      <x:c r="E50" s="10" t="n">
        <x:v>-0.55</x:v>
      </x:c>
    </x:row>
    <x:row r="51" ht="14.25" hidden="0" customHeight="1">
      <x:c r="A51" s="1" t="n">
        <x:v>45</x:v>
      </x:c>
      <x:c r="B51" s="1" t="s">
        <x:v>65</x:v>
      </x:c>
      <x:c r="C51" s="1" t="s">
        <x:v>431</x:v>
      </x:c>
      <x:c r="D51" s="10" t="s">
        <x:v>436</x:v>
      </x:c>
      <x:c r="E51" s="10" t="n">
        <x:v>-0.55</x:v>
      </x:c>
    </x:row>
    <x:row r="52" ht="14.25" hidden="0" customHeight="1">
      <x:c r="A52" s="1" t="n">
        <x:v>46</x:v>
      </x:c>
      <x:c r="B52" s="1" t="s">
        <x:v>65</x:v>
      </x:c>
      <x:c r="C52" s="1" t="s">
        <x:v>432</x:v>
      </x:c>
      <x:c r="D52" s="10" t="s">
        <x:v>437</x:v>
      </x:c>
      <x:c r="E52" s="10" t="n">
        <x:v>-0.55</x:v>
      </x:c>
    </x:row>
    <x:row r="53" ht="14.25" hidden="0" customHeight="1">
      <x:c r="A53" s="1" t="n">
        <x:v>47</x:v>
      </x:c>
      <x:c r="B53" s="1" t="s">
        <x:v>65</x:v>
      </x:c>
      <x:c r="C53" s="1" t="s">
        <x:v>432</x:v>
      </x:c>
      <x:c r="D53" s="10" t="s">
        <x:v>436</x:v>
      </x:c>
      <x:c r="E53" s="10" t="n">
        <x:v>-0.55</x:v>
      </x:c>
    </x:row>
    <x:row r="54" ht="14.25" hidden="0" customHeight="1">
      <x:c r="A54" s="1" t="n">
        <x:v>48</x:v>
      </x:c>
      <x:c r="B54" s="1" t="s">
        <x:v>65</x:v>
      </x:c>
      <x:c r="C54" s="1" t="s">
        <x:v>433</x:v>
      </x:c>
      <x:c r="D54" s="10" t="s">
        <x:v>437</x:v>
      </x:c>
      <x:c r="E54" s="10" t="n">
        <x:v>-0.55</x:v>
      </x:c>
    </x:row>
    <x:row r="55" ht="14.25" hidden="0" customHeight="1">
      <x:c r="A55" s="1" t="n">
        <x:v>49</x:v>
      </x:c>
      <x:c r="B55" s="1" t="s">
        <x:v>65</x:v>
      </x:c>
      <x:c r="C55" s="1" t="s">
        <x:v>433</x:v>
      </x:c>
      <x:c r="D55" s="10" t="s">
        <x:v>436</x:v>
      </x:c>
      <x:c r="E55" s="10" t="n">
        <x:v>-0.55</x:v>
      </x:c>
    </x:row>
    <x:row r="56" ht="14.25" hidden="0" customHeight="1">
      <x:c r="A56" s="1" t="n">
        <x:v>50</x:v>
      </x:c>
      <x:c r="B56" s="1" t="s">
        <x:v>66</x:v>
      </x:c>
      <x:c r="C56" s="1" t="s">
        <x:v>431</x:v>
      </x:c>
      <x:c r="D56" s="10" t="s">
        <x:v>437</x:v>
      </x:c>
      <x:c r="E56" s="10" t="n">
        <x:v>-0.45</x:v>
      </x:c>
    </x:row>
    <x:row r="57" ht="14.25" hidden="0" customHeight="1">
      <x:c r="A57" s="1" t="n">
        <x:v>51</x:v>
      </x:c>
      <x:c r="B57" s="1" t="s">
        <x:v>66</x:v>
      </x:c>
      <x:c r="C57" s="1" t="s">
        <x:v>431</x:v>
      </x:c>
      <x:c r="D57" s="10" t="s">
        <x:v>439</x:v>
      </x:c>
      <x:c r="E57" s="10" t="n">
        <x:v>-0.45</x:v>
      </x:c>
    </x:row>
    <x:row r="58" ht="14.25" hidden="0" customHeight="1">
      <x:c r="A58" s="1" t="n">
        <x:v>52</x:v>
      </x:c>
      <x:c r="B58" s="1" t="s">
        <x:v>66</x:v>
      </x:c>
      <x:c r="C58" s="1" t="s">
        <x:v>431</x:v>
      </x:c>
      <x:c r="D58" s="10" t="s">
        <x:v>436</x:v>
      </x:c>
      <x:c r="E58" s="10" t="n">
        <x:v>-0.45</x:v>
      </x:c>
    </x:row>
    <x:row r="59" ht="14.25" hidden="0" customHeight="1">
      <x:c r="A59" s="1" t="n">
        <x:v>53</x:v>
      </x:c>
      <x:c r="B59" s="1" t="s">
        <x:v>66</x:v>
      </x:c>
      <x:c r="C59" s="1" t="s">
        <x:v>432</x:v>
      </x:c>
      <x:c r="D59" s="10" t="s">
        <x:v>437</x:v>
      </x:c>
      <x:c r="E59" s="10" t="n">
        <x:v>-0.45</x:v>
      </x:c>
    </x:row>
    <x:row r="60" ht="14.25" hidden="0" customHeight="1">
      <x:c r="A60" s="1" t="n">
        <x:v>54</x:v>
      </x:c>
      <x:c r="B60" s="1" t="s">
        <x:v>66</x:v>
      </x:c>
      <x:c r="C60" s="1" t="s">
        <x:v>432</x:v>
      </x:c>
      <x:c r="D60" s="10" t="s">
        <x:v>439</x:v>
      </x:c>
      <x:c r="E60" s="10" t="n">
        <x:v>-0.45</x:v>
      </x:c>
    </x:row>
    <x:row r="61" ht="14.25" hidden="0" customHeight="1">
      <x:c r="A61" s="1" t="n">
        <x:v>55</x:v>
      </x:c>
      <x:c r="B61" s="1" t="s">
        <x:v>66</x:v>
      </x:c>
      <x:c r="C61" s="1" t="s">
        <x:v>432</x:v>
      </x:c>
      <x:c r="D61" s="10" t="s">
        <x:v>436</x:v>
      </x:c>
      <x:c r="E61" s="10" t="n">
        <x:v>-0.45</x:v>
      </x:c>
    </x:row>
    <x:row r="62" ht="14.25" hidden="0" customHeight="1">
      <x:c r="A62" s="1" t="n">
        <x:v>56</x:v>
      </x:c>
      <x:c r="B62" s="1" t="s">
        <x:v>66</x:v>
      </x:c>
      <x:c r="C62" s="1" t="s">
        <x:v>433</x:v>
      </x:c>
      <x:c r="D62" s="10" t="s">
        <x:v>437</x:v>
      </x:c>
      <x:c r="E62" s="10" t="n">
        <x:v>-0.45</x:v>
      </x:c>
    </x:row>
    <x:row r="63" ht="14.25" hidden="0" customHeight="1">
      <x:c r="A63" s="1" t="n">
        <x:v>57</x:v>
      </x:c>
      <x:c r="B63" s="1" t="s">
        <x:v>66</x:v>
      </x:c>
      <x:c r="C63" s="1" t="s">
        <x:v>433</x:v>
      </x:c>
      <x:c r="D63" s="10" t="s">
        <x:v>439</x:v>
      </x:c>
      <x:c r="E63" s="10" t="n">
        <x:v>-0.45</x:v>
      </x:c>
    </x:row>
    <x:row r="64" ht="14.25" hidden="0" customHeight="1">
      <x:c r="A64" s="1" t="n">
        <x:v>58</x:v>
      </x:c>
      <x:c r="B64" s="1" t="s">
        <x:v>66</x:v>
      </x:c>
      <x:c r="C64" s="1" t="s">
        <x:v>433</x:v>
      </x:c>
      <x:c r="D64" s="10" t="s">
        <x:v>436</x:v>
      </x:c>
      <x:c r="E64" s="10" t="n">
        <x:v>-0.45</x:v>
      </x:c>
    </x:row>
    <x:row r="65" ht="14.25" hidden="0" customHeight="1">
      <x:c r="A65" s="1" t="n">
        <x:v>59</x:v>
      </x:c>
      <x:c r="B65" s="1" t="s">
        <x:v>67</x:v>
      </x:c>
      <x:c r="C65" s="1" t="s">
        <x:v>427</x:v>
      </x:c>
      <x:c r="D65" s="10" t="s">
        <x:v>439</x:v>
      </x:c>
      <x:c r="E65" s="10" t="n">
        <x:v>-0.4</x:v>
      </x:c>
    </x:row>
    <x:row r="66" ht="14.25" hidden="0" customHeight="1">
      <x:c r="A66" s="1" t="n">
        <x:v>60</x:v>
      </x:c>
      <x:c r="B66" s="1" t="s">
        <x:v>67</x:v>
      </x:c>
      <x:c r="C66" s="1" t="s">
        <x:v>427</x:v>
      </x:c>
      <x:c r="D66" s="10" t="s">
        <x:v>436</x:v>
      </x:c>
      <x:c r="E66" s="10" t="n">
        <x:v>-0.4</x:v>
      </x:c>
    </x:row>
    <x:row r="67" ht="14.25" hidden="0" customHeight="1">
      <x:c r="A67" s="1" t="n">
        <x:v>61</x:v>
      </x:c>
      <x:c r="B67" s="1" t="s">
        <x:v>67</x:v>
      </x:c>
      <x:c r="C67" s="1" t="s">
        <x:v>429</x:v>
      </x:c>
      <x:c r="D67" s="10" t="s">
        <x:v>439</x:v>
      </x:c>
      <x:c r="E67" s="10" t="n">
        <x:v>-0.4</x:v>
      </x:c>
    </x:row>
    <x:row r="68" ht="14.25" hidden="0" customHeight="1">
      <x:c r="A68" s="1" t="n">
        <x:v>62</x:v>
      </x:c>
      <x:c r="B68" s="1" t="s">
        <x:v>67</x:v>
      </x:c>
      <x:c r="C68" s="1" t="s">
        <x:v>429</x:v>
      </x:c>
      <x:c r="D68" s="10" t="s">
        <x:v>436</x:v>
      </x:c>
      <x:c r="E68" s="10" t="n">
        <x:v>-0.4</x:v>
      </x:c>
    </x:row>
    <x:row r="69" ht="14.25" hidden="0" customHeight="1">
      <x:c r="A69" s="1" t="n">
        <x:v>63</x:v>
      </x:c>
      <x:c r="B69" s="1" t="s">
        <x:v>67</x:v>
      </x:c>
      <x:c r="C69" s="1" t="s">
        <x:v>430</x:v>
      </x:c>
      <x:c r="D69" s="10" t="s">
        <x:v>439</x:v>
      </x:c>
      <x:c r="E69" s="10" t="n">
        <x:v>-0.4</x:v>
      </x:c>
    </x:row>
    <x:row r="70" ht="14.25" hidden="0" customHeight="1">
      <x:c r="A70" s="1" t="n">
        <x:v>64</x:v>
      </x:c>
      <x:c r="B70" s="1" t="s">
        <x:v>67</x:v>
      </x:c>
      <x:c r="C70" s="1" t="s">
        <x:v>430</x:v>
      </x:c>
      <x:c r="D70" s="10" t="s">
        <x:v>436</x:v>
      </x:c>
      <x:c r="E70" s="10" t="n">
        <x:v>-0.4</x:v>
      </x:c>
    </x:row>
    <x:row r="71" ht="14.25" hidden="0" customHeight="1">
      <x:c r="A71" s="1" t="n">
        <x:v>65</x:v>
      </x:c>
      <x:c r="B71" s="1" t="s">
        <x:v>67</x:v>
      </x:c>
      <x:c r="C71" s="1" t="s">
        <x:v>431</x:v>
      </x:c>
      <x:c r="D71" s="10" t="s">
        <x:v>439</x:v>
      </x:c>
      <x:c r="E71" s="10" t="n">
        <x:v>-0.4</x:v>
      </x:c>
    </x:row>
    <x:row r="72" ht="14.25" hidden="0" customHeight="1">
      <x:c r="A72" s="1" t="n">
        <x:v>66</x:v>
      </x:c>
      <x:c r="B72" s="1" t="s">
        <x:v>67</x:v>
      </x:c>
      <x:c r="C72" s="1" t="s">
        <x:v>431</x:v>
      </x:c>
      <x:c r="D72" s="1" t="s">
        <x:v>436</x:v>
      </x:c>
      <x:c r="E72" s="1" t="n">
        <x:v>-0.4</x:v>
      </x:c>
    </x:row>
    <x:row r="73" ht="14.25" hidden="0" customHeight="1">
      <x:c r="A73" s="9" t="n">
        <x:v>67</x:v>
      </x:c>
      <x:c r="B73" s="1" t="s">
        <x:v>67</x:v>
      </x:c>
      <x:c r="C73" s="1" t="s">
        <x:v>432</x:v>
      </x:c>
      <x:c r="D73" s="1" t="s">
        <x:v>439</x:v>
      </x:c>
      <x:c r="E73" s="1" t="n">
        <x:v>-0.4</x:v>
      </x:c>
    </x:row>
    <x:row r="74" ht="14.25" hidden="0" customHeight="1">
      <x:c r="A74" s="1" t="n">
        <x:v>68</x:v>
      </x:c>
      <x:c r="B74" s="1" t="s">
        <x:v>67</x:v>
      </x:c>
      <x:c r="C74" s="1" t="s">
        <x:v>432</x:v>
      </x:c>
      <x:c r="D74" s="1" t="s">
        <x:v>436</x:v>
      </x:c>
      <x:c r="E74" s="1" t="n">
        <x:v>-0.4</x:v>
      </x:c>
    </x:row>
    <x:row r="75" ht="14.25" hidden="0" customHeight="1">
      <x:c r="A75" s="1" t="n">
        <x:v>69</x:v>
      </x:c>
      <x:c r="B75" s="1" t="s">
        <x:v>67</x:v>
      </x:c>
      <x:c r="C75" s="1" t="s">
        <x:v>433</x:v>
      </x:c>
      <x:c r="D75" s="1" t="s">
        <x:v>439</x:v>
      </x:c>
      <x:c r="E75" s="1" t="n">
        <x:v>-0.4</x:v>
      </x:c>
    </x:row>
    <x:row r="76" ht="14.25" hidden="0" customHeight="1">
      <x:c r="A76" s="1" t="n">
        <x:v>70</x:v>
      </x:c>
      <x:c r="B76" s="1" t="s">
        <x:v>67</x:v>
      </x:c>
      <x:c r="C76" s="1" t="s">
        <x:v>433</x:v>
      </x:c>
      <x:c r="D76" s="1" t="s">
        <x:v>436</x:v>
      </x:c>
      <x:c r="E76" s="1" t="n">
        <x:v>-0.4</x:v>
      </x:c>
    </x:row>
  </x:sheetData>
  <x:mergeCells>
    <x:mergeCell ref="A1:H1"/>
  </x:mergeCells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cols>
    <x:col min="1" max="1" width="4" hidden="0" customWidth="1"/>
    <x:col min="2" max="2" width="10" hidden="0" customWidth="1"/>
    <x:col min="3" max="3" width="8" hidden="0" customWidth="1"/>
    <x:col min="4" max="4" width="11" hidden="0" customWidth="1"/>
    <x:col min="5" max="5" width="8" hidden="0" customWidth="1"/>
    <x:col min="6" max="9" width="11" hidden="0" customWidth="1"/>
    <x:col min="10" max="11" width="20" hidden="0" customWidth="1"/>
    <x:col min="12" max="12" width="10" hidden="0" customWidth="1"/>
    <x:col min="13" max="14" width="14" hidden="0" customWidth="1"/>
    <x:col min="15" max="16" width="22" hidden="1" customWidth="1"/>
  </x:cols>
  <x:sheetData>
    <x:row r="1" ht="31.5" hidden="0" customHeight="1">
      <x:c r="A1" s="1" t="s">
        <x:v>424</x:v>
      </x:c>
      <x:c r="B1" s="1" t="s">
        <x:v>57</x:v>
      </x:c>
      <x:c r="C1" s="1" t="s">
        <x:v>425</x:v>
      </x:c>
      <x:c r="D1" s="1" t="s">
        <x:v>426</x:v>
      </x:c>
      <x:c r="E1" s="1" t="s">
        <x:v>59</x:v>
      </x:c>
      <x:c r="F1" s="1" t="s">
        <x:v>440</x:v>
      </x:c>
      <x:c r="G1" s="1" t="s">
        <x:v>441</x:v>
      </x:c>
      <x:c r="H1" s="1" t="s">
        <x:v>442</x:v>
      </x:c>
      <x:c r="I1" s="1" t="s">
        <x:v>443</x:v>
      </x:c>
      <x:c r="J1" s="41" t="s">
        <x:v>444</x:v>
      </x:c>
      <x:c r="K1" s="41" t="s">
        <x:v>445</x:v>
      </x:c>
      <x:c r="L1" s="1" t="s">
        <x:v>446</x:v>
      </x:c>
      <x:c r="M1" s="41" t="s">
        <x:v>447</x:v>
      </x:c>
      <x:c r="N1" s="41" t="s">
        <x:v>448</x:v>
      </x:c>
      <x:c r="O1" s="42" t="s">
        <x:v>449</x:v>
      </x:c>
      <x:c r="P1" s="42" t="s">
        <x:v>450</x:v>
      </x:c>
    </x:row>
    <x:row r="2" ht="14.25" hidden="0" customHeight="1">
      <x:c r="A2" s="1" t="n">
        <x:v>1</x:v>
      </x:c>
      <x:c r="B2" s="1" t="s">
        <x:v>60</x:v>
      </x:c>
      <x:c r="C2" s="1" t="s">
        <x:v>427</x:v>
      </x:c>
      <x:c r="D2" s="1" t="s">
        <x:v>428</x:v>
      </x:c>
      <x:c r="E2" s="1" t="n">
        <x:v>-0.9</x:v>
      </x:c>
      <x:c r="F2" s="10" t="n">
        <x:f aca="0">INDEX(I_prop!$B$7:$H$13, MATCH($C2, I_prop!$A$7:$A$13,0), MATCH($D2, I_prop!$B$6:$H$6,0))</x:f>
        <x:v>0</x:v>
      </x:c>
      <x:c r="G2" s="10" t="n">
        <x:f aca="0">INDEX(I_prop!$B$18:$H$24, MATCH($C2, I_prop!$A$18:$A$24,0), MATCH($D2, I_prop!$B$17:$H$17,0))</x:f>
        <x:v>0</x:v>
      </x:c>
      <x:c r="H2" s="10" t="n">
        <x:f aca="0">IF($J2&lt;&gt;"",$J2,IF($F2&lt;0,MAX(-1,Subgroup_Overrides!$B$7*$F2),$F2))</x:f>
        <x:v>0</x:v>
      </x:c>
      <x:c r="I2" s="10" t="n">
        <x:f aca="0">IF($K2&lt;&gt;"",$K2,IF($G2&lt;0,MAX(-1,Subgroup_Overrides!$B$7*$G2),$G2))</x:f>
        <x:v>0</x:v>
      </x:c>
      <x:c r="J2" s="41" t="str">
        <x:f aca="0">IF(COUNTIF(Subgroup_Overrides!$H$11:$H$100,"A|"&amp;$C2&amp;"|"&amp;$D2)&gt;0,SUMIFS(Subgroup_Overrides!$F$11:$F$100,Subgroup_Overrides!$H$11:$H$100,"A|"&amp;$C2&amp;"|"&amp;$D2),"")</x:f>
      </x:c>
      <x:c r="K2" s="41" t="str">
        <x:f aca="0">IF(COUNTIF(Subgroup_Overrides!$H$11:$H$100,"B|"&amp;$C2&amp;"|"&amp;$D2)&gt;0,SUMIFS(Subgroup_Overrides!$F$11:$F$100,Subgroup_Overrides!$H$11:$H$100,"B|"&amp;$C2&amp;"|"&amp;$D2),"")</x:f>
      </x:c>
      <x:c r="L2" s="1" t="str">
        <x:f aca="0">TRIM(B2)</x:f>
        <x:v>LIFE</x:v>
      </x:c>
      <x:c r="M2" s="1" t="str">
        <x:f aca="0">IF($H2="","",1*$H2)</x:f>
      </x:c>
      <x:c r="N2" s="1" t="str">
        <x:f aca="0">IF($I2="","",1*$I2)</x:f>
      </x:c>
      <x:c r="O2" s="42" t="str">
        <x:f aca="0">IF($M2="","",$B2&amp;"|"&amp;ROUND($M2*1000000000000,0))</x:f>
      </x:c>
      <x:c r="P2" s="42" t="str">
        <x:f aca="0">IF($N2="","",$B2&amp;"|"&amp;ROUND($N2*1000000000000,0))</x:f>
      </x:c>
    </x:row>
    <x:row r="3" ht="14.25" hidden="0" customHeight="1">
      <x:c r="A3" s="1" t="n">
        <x:v>2</x:v>
      </x:c>
      <x:c r="B3" s="1" t="s">
        <x:v>60</x:v>
      </x:c>
      <x:c r="C3" s="1" t="s">
        <x:v>429</x:v>
      </x:c>
      <x:c r="D3" s="1" t="s">
        <x:v>428</x:v>
      </x:c>
      <x:c r="E3" s="1" t="n">
        <x:v>-0.9</x:v>
      </x:c>
      <x:c r="F3" s="10" t="n">
        <x:f aca="0">INDEX(I_prop!$B$7:$H$13, MATCH($C3, I_prop!$A$7:$A$13,0), MATCH($D3, I_prop!$B$6:$H$6,0))</x:f>
        <x:v>0</x:v>
      </x:c>
      <x:c r="G3" s="10" t="n">
        <x:f aca="0">INDEX(I_prop!$B$18:$H$24, MATCH($C3, I_prop!$A$18:$A$24,0), MATCH($D3, I_prop!$B$17:$H$17,0))</x:f>
        <x:v>0</x:v>
      </x:c>
      <x:c r="H3" s="10" t="n">
        <x:f aca="0">IF($J3&lt;&gt;"",$J3,IF($F3&lt;0,MAX(-1,Subgroup_Overrides!$B$7*$F3),$F3))</x:f>
        <x:v>0</x:v>
      </x:c>
      <x:c r="I3" s="10" t="n">
        <x:f aca="0">IF($K3&lt;&gt;"",$K3,IF($G3&lt;0,MAX(-1,Subgroup_Overrides!$B$7*$G3),$G3))</x:f>
        <x:v>0</x:v>
      </x:c>
      <x:c r="J3" s="41" t="str">
        <x:f aca="0">IF(COUNTIF(Subgroup_Overrides!$H$11:$H$100,"A|"&amp;$C3&amp;"|"&amp;$D3)&gt;0,SUMIFS(Subgroup_Overrides!$F$11:$F$100,Subgroup_Overrides!$H$11:$H$100,"A|"&amp;$C3&amp;"|"&amp;$D3),"")</x:f>
      </x:c>
      <x:c r="K3" s="41" t="str">
        <x:f aca="0">IF(COUNTIF(Subgroup_Overrides!$H$11:$H$100,"B|"&amp;$C3&amp;"|"&amp;$D3)&gt;0,SUMIFS(Subgroup_Overrides!$F$11:$F$100,Subgroup_Overrides!$H$11:$H$100,"B|"&amp;$C3&amp;"|"&amp;$D3),"")</x:f>
      </x:c>
      <x:c r="L3" s="1" t="str">
        <x:f aca="0">TRIM(B3)</x:f>
        <x:v>LIFE</x:v>
      </x:c>
      <x:c r="M3" s="1" t="str">
        <x:f aca="0">IF($H3="","",1*$H3)</x:f>
      </x:c>
      <x:c r="N3" s="1" t="str">
        <x:f aca="0">IF($I3="","",1*$I3)</x:f>
      </x:c>
      <x:c r="O3" s="42" t="str">
        <x:f aca="0">IF($M3="","",$B3&amp;"|"&amp;ROUND($M3*1000000000000,0))</x:f>
      </x:c>
      <x:c r="P3" s="42" t="str">
        <x:f aca="0">IF($N3="","",$B3&amp;"|"&amp;ROUND($N3*1000000000000,0))</x:f>
      </x:c>
    </x:row>
    <x:row r="4" ht="14.25" hidden="0" customHeight="1">
      <x:c r="A4" s="1" t="n">
        <x:v>3</x:v>
      </x:c>
      <x:c r="B4" s="1" t="s">
        <x:v>60</x:v>
      </x:c>
      <x:c r="C4" s="1" t="s">
        <x:v>430</x:v>
      </x:c>
      <x:c r="D4" s="1" t="s">
        <x:v>428</x:v>
      </x:c>
      <x:c r="E4" s="1" t="n">
        <x:v>-0.9</x:v>
      </x:c>
      <x:c r="F4" s="10" t="n">
        <x:f aca="0">INDEX(I_prop!$B$7:$H$13, MATCH($C4, I_prop!$A$7:$A$13,0), MATCH($D4, I_prop!$B$6:$H$6,0))</x:f>
        <x:v>0</x:v>
      </x:c>
      <x:c r="G4" s="10" t="n">
        <x:f aca="0">INDEX(I_prop!$B$18:$H$24, MATCH($C4, I_prop!$A$18:$A$24,0), MATCH($D4, I_prop!$B$17:$H$17,0))</x:f>
        <x:v>0</x:v>
      </x:c>
      <x:c r="H4" s="10" t="n">
        <x:f aca="0">IF($J4&lt;&gt;"",$J4,IF($F4&lt;0,MAX(-1,Subgroup_Overrides!$B$7*$F4),$F4))</x:f>
        <x:v>0</x:v>
      </x:c>
      <x:c r="I4" s="10" t="n">
        <x:f aca="0">IF($K4&lt;&gt;"",$K4,IF($G4&lt;0,MAX(-1,Subgroup_Overrides!$B$7*$G4),$G4))</x:f>
        <x:v>0</x:v>
      </x:c>
      <x:c r="J4" s="41" t="str">
        <x:f aca="0">IF(COUNTIF(Subgroup_Overrides!$H$11:$H$100,"A|"&amp;$C4&amp;"|"&amp;$D4)&gt;0,SUMIFS(Subgroup_Overrides!$F$11:$F$100,Subgroup_Overrides!$H$11:$H$100,"A|"&amp;$C4&amp;"|"&amp;$D4),"")</x:f>
      </x:c>
      <x:c r="K4" s="41" t="str">
        <x:f aca="0">IF(COUNTIF(Subgroup_Overrides!$H$11:$H$100,"B|"&amp;$C4&amp;"|"&amp;$D4)&gt;0,SUMIFS(Subgroup_Overrides!$F$11:$F$100,Subgroup_Overrides!$H$11:$H$100,"B|"&amp;$C4&amp;"|"&amp;$D4),"")</x:f>
      </x:c>
      <x:c r="L4" s="1" t="str">
        <x:f aca="0">TRIM(B4)</x:f>
        <x:v>LIFE</x:v>
      </x:c>
      <x:c r="M4" s="1" t="str">
        <x:f aca="0">IF($H4="","",1*$H4)</x:f>
      </x:c>
      <x:c r="N4" s="1" t="str">
        <x:f aca="0">IF($I4="","",1*$I4)</x:f>
      </x:c>
      <x:c r="O4" s="42" t="str">
        <x:f aca="0">IF($M4="","",$B4&amp;"|"&amp;ROUND($M4*1000000000000,0))</x:f>
      </x:c>
      <x:c r="P4" s="42" t="str">
        <x:f aca="0">IF($N4="","",$B4&amp;"|"&amp;ROUND($N4*1000000000000,0))</x:f>
      </x:c>
    </x:row>
    <x:row r="5" ht="14.25" hidden="0" customHeight="1">
      <x:c r="A5" s="1" t="n">
        <x:v>4</x:v>
      </x:c>
      <x:c r="B5" s="1" t="s">
        <x:v>60</x:v>
      </x:c>
      <x:c r="C5" s="1" t="s">
        <x:v>431</x:v>
      </x:c>
      <x:c r="D5" s="1" t="s">
        <x:v>428</x:v>
      </x:c>
      <x:c r="E5" s="1" t="n">
        <x:v>-0.9</x:v>
      </x:c>
      <x:c r="F5" s="10" t="n">
        <x:f aca="0">INDEX(I_prop!$B$7:$H$13, MATCH($C5, I_prop!$A$7:$A$13,0), MATCH($D5, I_prop!$B$6:$H$6,0))</x:f>
        <x:v>0</x:v>
      </x:c>
      <x:c r="G5" s="10" t="n">
        <x:f aca="0">INDEX(I_prop!$B$18:$H$24, MATCH($C5, I_prop!$A$18:$A$24,0), MATCH($D5, I_prop!$B$17:$H$17,0))</x:f>
        <x:v>0</x:v>
      </x:c>
      <x:c r="H5" s="10" t="n">
        <x:f aca="0">IF($J5&lt;&gt;"",$J5,IF($F5&lt;0,MAX(-1,Subgroup_Overrides!$B$7*$F5),$F5))</x:f>
        <x:v>0</x:v>
      </x:c>
      <x:c r="I5" s="10" t="n">
        <x:f aca="0">IF($K5&lt;&gt;"",$K5,IF($G5&lt;0,MAX(-1,Subgroup_Overrides!$B$7*$G5),$G5))</x:f>
        <x:v>0</x:v>
      </x:c>
      <x:c r="J5" s="41" t="str">
        <x:f aca="0">IF(COUNTIF(Subgroup_Overrides!$H$11:$H$100,"A|"&amp;$C5&amp;"|"&amp;$D5)&gt;0,SUMIFS(Subgroup_Overrides!$F$11:$F$100,Subgroup_Overrides!$H$11:$H$100,"A|"&amp;$C5&amp;"|"&amp;$D5),"")</x:f>
      </x:c>
      <x:c r="K5" s="41" t="str">
        <x:f aca="0">IF(COUNTIF(Subgroup_Overrides!$H$11:$H$100,"B|"&amp;$C5&amp;"|"&amp;$D5)&gt;0,SUMIFS(Subgroup_Overrides!$F$11:$F$100,Subgroup_Overrides!$H$11:$H$100,"B|"&amp;$C5&amp;"|"&amp;$D5),"")</x:f>
      </x:c>
      <x:c r="L5" s="1" t="str">
        <x:f aca="0">TRIM(B5)</x:f>
        <x:v>LIFE</x:v>
      </x:c>
      <x:c r="M5" s="1" t="str">
        <x:f aca="0">IF($H5="","",1*$H5)</x:f>
      </x:c>
      <x:c r="N5" s="1" t="str">
        <x:f aca="0">IF($I5="","",1*$I5)</x:f>
      </x:c>
      <x:c r="O5" s="42" t="str">
        <x:f aca="0">IF($M5="","",$B5&amp;"|"&amp;ROUND($M5*1000000000000,0))</x:f>
      </x:c>
      <x:c r="P5" s="42" t="str">
        <x:f aca="0">IF($N5="","",$B5&amp;"|"&amp;ROUND($N5*1000000000000,0))</x:f>
      </x:c>
    </x:row>
    <x:row r="6" ht="14.25" hidden="0" customHeight="1">
      <x:c r="A6" s="1" t="n">
        <x:v>5</x:v>
      </x:c>
      <x:c r="B6" s="1" t="s">
        <x:v>60</x:v>
      </x:c>
      <x:c r="C6" s="1" t="s">
        <x:v>432</x:v>
      </x:c>
      <x:c r="D6" s="1" t="s">
        <x:v>428</x:v>
      </x:c>
      <x:c r="E6" s="1" t="n">
        <x:v>-0.9</x:v>
      </x:c>
      <x:c r="F6" s="10" t="n">
        <x:f aca="0">INDEX(I_prop!$B$7:$H$13, MATCH($C6, I_prop!$A$7:$A$13,0), MATCH($D6, I_prop!$B$6:$H$6,0))</x:f>
        <x:v>0</x:v>
      </x:c>
      <x:c r="G6" s="10" t="n">
        <x:f aca="0">INDEX(I_prop!$B$18:$H$24, MATCH($C6, I_prop!$A$18:$A$24,0), MATCH($D6, I_prop!$B$17:$H$17,0))</x:f>
        <x:v>0</x:v>
      </x:c>
      <x:c r="H6" s="10" t="n">
        <x:f aca="0">IF($J6&lt;&gt;"",$J6,IF($F6&lt;0,MAX(-1,Subgroup_Overrides!$B$7*$F6),$F6))</x:f>
        <x:v>0</x:v>
      </x:c>
      <x:c r="I6" s="10" t="n">
        <x:f aca="0">IF($K6&lt;&gt;"",$K6,IF($G6&lt;0,MAX(-1,Subgroup_Overrides!$B$7*$G6),$G6))</x:f>
        <x:v>0</x:v>
      </x:c>
      <x:c r="J6" s="41" t="str">
        <x:f aca="0">IF(COUNTIF(Subgroup_Overrides!$H$11:$H$100,"A|"&amp;$C6&amp;"|"&amp;$D6)&gt;0,SUMIFS(Subgroup_Overrides!$F$11:$F$100,Subgroup_Overrides!$H$11:$H$100,"A|"&amp;$C6&amp;"|"&amp;$D6),"")</x:f>
      </x:c>
      <x:c r="K6" s="41" t="str">
        <x:f aca="0">IF(COUNTIF(Subgroup_Overrides!$H$11:$H$100,"B|"&amp;$C6&amp;"|"&amp;$D6)&gt;0,SUMIFS(Subgroup_Overrides!$F$11:$F$100,Subgroup_Overrides!$H$11:$H$100,"B|"&amp;$C6&amp;"|"&amp;$D6),"")</x:f>
      </x:c>
      <x:c r="L6" s="1" t="str">
        <x:f aca="0">TRIM(B6)</x:f>
        <x:v>LIFE</x:v>
      </x:c>
      <x:c r="M6" s="1" t="str">
        <x:f aca="0">IF($H6="","",1*$H6)</x:f>
      </x:c>
      <x:c r="N6" s="1" t="str">
        <x:f aca="0">IF($I6="","",1*$I6)</x:f>
      </x:c>
      <x:c r="O6" s="42" t="str">
        <x:f aca="0">IF($M6="","",$B6&amp;"|"&amp;ROUND($M6*1000000000000,0))</x:f>
      </x:c>
      <x:c r="P6" s="42" t="str">
        <x:f aca="0">IF($N6="","",$B6&amp;"|"&amp;ROUND($N6*1000000000000,0))</x:f>
      </x:c>
    </x:row>
    <x:row r="7" ht="14.25" hidden="0" customHeight="1">
      <x:c r="A7" s="1" t="n">
        <x:v>6</x:v>
      </x:c>
      <x:c r="B7" s="1" t="s">
        <x:v>60</x:v>
      </x:c>
      <x:c r="C7" s="1" t="s">
        <x:v>433</x:v>
      </x:c>
      <x:c r="D7" s="1" t="s">
        <x:v>428</x:v>
      </x:c>
      <x:c r="E7" s="1" t="n">
        <x:v>-0.9</x:v>
      </x:c>
      <x:c r="F7" s="10" t="n">
        <x:f aca="0">INDEX(I_prop!$B$7:$H$13, MATCH($C7, I_prop!$A$7:$A$13,0), MATCH($D7, I_prop!$B$6:$H$6,0))</x:f>
        <x:v>0</x:v>
      </x:c>
      <x:c r="G7" s="10" t="n">
        <x:f aca="0">INDEX(I_prop!$B$18:$H$24, MATCH($C7, I_prop!$A$18:$A$24,0), MATCH($D7, I_prop!$B$17:$H$17,0))</x:f>
        <x:v>0</x:v>
      </x:c>
      <x:c r="H7" s="10" t="n">
        <x:f aca="0">IF($J7&lt;&gt;"",$J7,IF($F7&lt;0,MAX(-1,Subgroup_Overrides!$B$7*$F7),$F7))</x:f>
        <x:v>0</x:v>
      </x:c>
      <x:c r="I7" s="10" t="n">
        <x:f aca="0">IF($K7&lt;&gt;"",$K7,IF($G7&lt;0,MAX(-1,Subgroup_Overrides!$B$7*$G7),$G7))</x:f>
        <x:v>0</x:v>
      </x:c>
      <x:c r="J7" s="41" t="str">
        <x:f aca="0">IF(COUNTIF(Subgroup_Overrides!$H$11:$H$100,"A|"&amp;$C7&amp;"|"&amp;$D7)&gt;0,SUMIFS(Subgroup_Overrides!$F$11:$F$100,Subgroup_Overrides!$H$11:$H$100,"A|"&amp;$C7&amp;"|"&amp;$D7),"")</x:f>
      </x:c>
      <x:c r="K7" s="41" t="str">
        <x:f aca="0">IF(COUNTIF(Subgroup_Overrides!$H$11:$H$100,"B|"&amp;$C7&amp;"|"&amp;$D7)&gt;0,SUMIFS(Subgroup_Overrides!$F$11:$F$100,Subgroup_Overrides!$H$11:$H$100,"B|"&amp;$C7&amp;"|"&amp;$D7),"")</x:f>
      </x:c>
      <x:c r="L7" s="1" t="str">
        <x:f aca="0">TRIM(B7)</x:f>
        <x:v>LIFE</x:v>
      </x:c>
      <x:c r="M7" s="1" t="str">
        <x:f aca="0">IF($H7="","",1*$H7)</x:f>
      </x:c>
      <x:c r="N7" s="1" t="str">
        <x:f aca="0">IF($I7="","",1*$I7)</x:f>
      </x:c>
      <x:c r="O7" s="42" t="str">
        <x:f aca="0">IF($M7="","",$B7&amp;"|"&amp;ROUND($M7*1000000000000,0))</x:f>
      </x:c>
      <x:c r="P7" s="42" t="str">
        <x:f aca="0">IF($N7="","",$B7&amp;"|"&amp;ROUND($N7*1000000000000,0))</x:f>
      </x:c>
    </x:row>
    <x:row r="8" ht="14.25" hidden="0" customHeight="1">
      <x:c r="A8" s="1" t="n">
        <x:v>7</x:v>
      </x:c>
      <x:c r="B8" s="1" t="s">
        <x:v>60</x:v>
      </x:c>
      <x:c r="C8" s="1" t="s">
        <x:v>433</x:v>
      </x:c>
      <x:c r="D8" s="1" t="s">
        <x:v>434</x:v>
      </x:c>
      <x:c r="E8" s="1" t="n">
        <x:v>-0.9</x:v>
      </x:c>
      <x:c r="F8" s="10" t="n">
        <x:f aca="0">INDEX(I_prop!$B$7:$H$13, MATCH($C8, I_prop!$A$7:$A$13,0), MATCH($D8, I_prop!$B$6:$H$6,0))</x:f>
        <x:v>0</x:v>
      </x:c>
      <x:c r="G8" s="10" t="n">
        <x:f aca="0">INDEX(I_prop!$B$18:$H$24, MATCH($C8, I_prop!$A$18:$A$24,0), MATCH($D8, I_prop!$B$17:$H$17,0))</x:f>
        <x:v>0</x:v>
      </x:c>
      <x:c r="H8" s="10" t="n">
        <x:f aca="0">IF($J8&lt;&gt;"",$J8,IF($F8&lt;0,MAX(-1,Subgroup_Overrides!$B$7*$F8),$F8))</x:f>
        <x:v>0</x:v>
      </x:c>
      <x:c r="I8" s="10" t="n">
        <x:f aca="0">IF($K8&lt;&gt;"",$K8,IF($G8&lt;0,MAX(-1,Subgroup_Overrides!$B$7*$G8),$G8))</x:f>
        <x:v>0</x:v>
      </x:c>
      <x:c r="J8" s="41" t="str">
        <x:f aca="0">IF(COUNTIF(Subgroup_Overrides!$H$11:$H$100,"A|"&amp;$C8&amp;"|"&amp;$D8)&gt;0,SUMIFS(Subgroup_Overrides!$F$11:$F$100,Subgroup_Overrides!$H$11:$H$100,"A|"&amp;$C8&amp;"|"&amp;$D8),"")</x:f>
      </x:c>
      <x:c r="K8" s="41" t="str">
        <x:f aca="0">IF(COUNTIF(Subgroup_Overrides!$H$11:$H$100,"B|"&amp;$C8&amp;"|"&amp;$D8)&gt;0,SUMIFS(Subgroup_Overrides!$F$11:$F$100,Subgroup_Overrides!$H$11:$H$100,"B|"&amp;$C8&amp;"|"&amp;$D8),"")</x:f>
      </x:c>
      <x:c r="L8" s="1" t="str">
        <x:f aca="0">TRIM(B8)</x:f>
        <x:v>LIFE</x:v>
      </x:c>
      <x:c r="M8" s="1" t="str">
        <x:f aca="0">IF($H8="","",1*$H8)</x:f>
      </x:c>
      <x:c r="N8" s="1" t="str">
        <x:f aca="0">IF($I8="","",1*$I8)</x:f>
      </x:c>
      <x:c r="O8" s="42" t="str">
        <x:f aca="0">IF($M8="","",$B8&amp;"|"&amp;ROUND($M8*1000000000000,0))</x:f>
      </x:c>
      <x:c r="P8" s="42" t="str">
        <x:f aca="0">IF($N8="","",$B8&amp;"|"&amp;ROUND($N8*1000000000000,0))</x:f>
      </x:c>
    </x:row>
    <x:row r="9" ht="14.25" hidden="0" customHeight="1">
      <x:c r="A9" s="1" t="n">
        <x:v>8</x:v>
      </x:c>
      <x:c r="B9" s="1" t="s">
        <x:v>61</x:v>
      </x:c>
      <x:c r="C9" s="1" t="s">
        <x:v>427</x:v>
      </x:c>
      <x:c r="D9" s="1" t="s">
        <x:v>428</x:v>
      </x:c>
      <x:c r="E9" s="1" t="n">
        <x:v>-0.7</x:v>
      </x:c>
      <x:c r="F9" s="10" t="n">
        <x:f aca="0">INDEX(I_prop!$B$7:$H$13, MATCH($C9, I_prop!$A$7:$A$13,0), MATCH($D9, I_prop!$B$6:$H$6,0))</x:f>
        <x:v>0</x:v>
      </x:c>
      <x:c r="G9" s="10" t="n">
        <x:f aca="0">INDEX(I_prop!$B$18:$H$24, MATCH($C9, I_prop!$A$18:$A$24,0), MATCH($D9, I_prop!$B$17:$H$17,0))</x:f>
        <x:v>0</x:v>
      </x:c>
      <x:c r="H9" s="10" t="n">
        <x:f aca="0">IF($J9&lt;&gt;"",$J9,IF($F9&lt;0,MAX(-1,Subgroup_Overrides!$B$7*$F9),$F9))</x:f>
        <x:v>0</x:v>
      </x:c>
      <x:c r="I9" s="10" t="n">
        <x:f aca="0">IF($K9&lt;&gt;"",$K9,IF($G9&lt;0,MAX(-1,Subgroup_Overrides!$B$7*$G9),$G9))</x:f>
        <x:v>0</x:v>
      </x:c>
      <x:c r="J9" s="41" t="str">
        <x:f aca="0">IF(COUNTIF(Subgroup_Overrides!$H$11:$H$100,"A|"&amp;$C9&amp;"|"&amp;$D9)&gt;0,SUMIFS(Subgroup_Overrides!$F$11:$F$100,Subgroup_Overrides!$H$11:$H$100,"A|"&amp;$C9&amp;"|"&amp;$D9),"")</x:f>
      </x:c>
      <x:c r="K9" s="41" t="str">
        <x:f aca="0">IF(COUNTIF(Subgroup_Overrides!$H$11:$H$100,"B|"&amp;$C9&amp;"|"&amp;$D9)&gt;0,SUMIFS(Subgroup_Overrides!$F$11:$F$100,Subgroup_Overrides!$H$11:$H$100,"B|"&amp;$C9&amp;"|"&amp;$D9),"")</x:f>
      </x:c>
      <x:c r="L9" s="1" t="str">
        <x:f aca="0">TRIM(B9)</x:f>
        <x:v>BODY</x:v>
      </x:c>
      <x:c r="M9" s="1" t="str">
        <x:f aca="0">IF($H9="","",1*$H9)</x:f>
      </x:c>
      <x:c r="N9" s="1" t="str">
        <x:f aca="0">IF($I9="","",1*$I9)</x:f>
      </x:c>
      <x:c r="O9" s="42" t="str">
        <x:f aca="0">IF($M9="","",$B9&amp;"|"&amp;ROUND($M9*1000000000000,0))</x:f>
      </x:c>
      <x:c r="P9" s="42" t="str">
        <x:f aca="0">IF($N9="","",$B9&amp;"|"&amp;ROUND($N9*1000000000000,0))</x:f>
      </x:c>
    </x:row>
    <x:row r="10" ht="14.25" hidden="0" customHeight="1">
      <x:c r="A10" s="1" t="n">
        <x:v>9</x:v>
      </x:c>
      <x:c r="B10" s="1" t="s">
        <x:v>61</x:v>
      </x:c>
      <x:c r="C10" s="1" t="s">
        <x:v>429</x:v>
      </x:c>
      <x:c r="D10" s="1" t="s">
        <x:v>428</x:v>
      </x:c>
      <x:c r="E10" s="1" t="n">
        <x:v>-0.7</x:v>
      </x:c>
      <x:c r="F10" s="10" t="n">
        <x:f aca="0">INDEX(I_prop!$B$7:$H$13, MATCH($C10, I_prop!$A$7:$A$13,0), MATCH($D10, I_prop!$B$6:$H$6,0))</x:f>
        <x:v>0</x:v>
      </x:c>
      <x:c r="G10" s="10" t="n">
        <x:f aca="0">INDEX(I_prop!$B$18:$H$24, MATCH($C10, I_prop!$A$18:$A$24,0), MATCH($D10, I_prop!$B$17:$H$17,0))</x:f>
        <x:v>0</x:v>
      </x:c>
      <x:c r="H10" s="10" t="n">
        <x:f aca="0">IF($J10&lt;&gt;"",$J10,IF($F10&lt;0,MAX(-1,Subgroup_Overrides!$B$7*$F10),$F10))</x:f>
        <x:v>0</x:v>
      </x:c>
      <x:c r="I10" s="10" t="n">
        <x:f aca="0">IF($K10&lt;&gt;"",$K10,IF($G10&lt;0,MAX(-1,Subgroup_Overrides!$B$7*$G10),$G10))</x:f>
        <x:v>0</x:v>
      </x:c>
      <x:c r="J10" s="41" t="str">
        <x:f aca="0">IF(COUNTIF(Subgroup_Overrides!$H$11:$H$100,"A|"&amp;$C10&amp;"|"&amp;$D10)&gt;0,SUMIFS(Subgroup_Overrides!$F$11:$F$100,Subgroup_Overrides!$H$11:$H$100,"A|"&amp;$C10&amp;"|"&amp;$D10),"")</x:f>
      </x:c>
      <x:c r="K10" s="41" t="str">
        <x:f aca="0">IF(COUNTIF(Subgroup_Overrides!$H$11:$H$100,"B|"&amp;$C10&amp;"|"&amp;$D10)&gt;0,SUMIFS(Subgroup_Overrides!$F$11:$F$100,Subgroup_Overrides!$H$11:$H$100,"B|"&amp;$C10&amp;"|"&amp;$D10),"")</x:f>
      </x:c>
      <x:c r="L10" s="1" t="str">
        <x:f aca="0">TRIM(B10)</x:f>
        <x:v>BODY</x:v>
      </x:c>
      <x:c r="M10" s="1" t="str">
        <x:f aca="0">IF($H10="","",1*$H10)</x:f>
      </x:c>
      <x:c r="N10" s="1" t="str">
        <x:f aca="0">IF($I10="","",1*$I10)</x:f>
      </x:c>
      <x:c r="O10" s="42" t="str">
        <x:f aca="0">IF($M10="","",$B10&amp;"|"&amp;ROUND($M10*1000000000000,0))</x:f>
      </x:c>
      <x:c r="P10" s="42" t="str">
        <x:f aca="0">IF($N10="","",$B10&amp;"|"&amp;ROUND($N10*1000000000000,0))</x:f>
      </x:c>
    </x:row>
    <x:row r="11" ht="14.25" hidden="0" customHeight="1">
      <x:c r="A11" s="1" t="n">
        <x:v>10</x:v>
      </x:c>
      <x:c r="B11" s="1" t="s">
        <x:v>61</x:v>
      </x:c>
      <x:c r="C11" s="1" t="s">
        <x:v>430</x:v>
      </x:c>
      <x:c r="D11" s="1" t="s">
        <x:v>428</x:v>
      </x:c>
      <x:c r="E11" s="1" t="n">
        <x:v>-0.7</x:v>
      </x:c>
      <x:c r="F11" s="10" t="n">
        <x:f aca="0">INDEX(I_prop!$B$7:$H$13, MATCH($C11, I_prop!$A$7:$A$13,0), MATCH($D11, I_prop!$B$6:$H$6,0))</x:f>
        <x:v>0</x:v>
      </x:c>
      <x:c r="G11" s="10" t="n">
        <x:f aca="0">INDEX(I_prop!$B$18:$H$24, MATCH($C11, I_prop!$A$18:$A$24,0), MATCH($D11, I_prop!$B$17:$H$17,0))</x:f>
        <x:v>0</x:v>
      </x:c>
      <x:c r="H11" s="10" t="n">
        <x:f aca="0">IF($J11&lt;&gt;"",$J11,IF($F11&lt;0,MAX(-1,Subgroup_Overrides!$B$7*$F11),$F11))</x:f>
        <x:v>0</x:v>
      </x:c>
      <x:c r="I11" s="10" t="n">
        <x:f aca="0">IF($K11&lt;&gt;"",$K11,IF($G11&lt;0,MAX(-1,Subgroup_Overrides!$B$7*$G11),$G11))</x:f>
        <x:v>0</x:v>
      </x:c>
      <x:c r="J11" s="41" t="str">
        <x:f aca="0">IF(COUNTIF(Subgroup_Overrides!$H$11:$H$100,"A|"&amp;$C11&amp;"|"&amp;$D11)&gt;0,SUMIFS(Subgroup_Overrides!$F$11:$F$100,Subgroup_Overrides!$H$11:$H$100,"A|"&amp;$C11&amp;"|"&amp;$D11),"")</x:f>
      </x:c>
      <x:c r="K11" s="41" t="str">
        <x:f aca="0">IF(COUNTIF(Subgroup_Overrides!$H$11:$H$100,"B|"&amp;$C11&amp;"|"&amp;$D11)&gt;0,SUMIFS(Subgroup_Overrides!$F$11:$F$100,Subgroup_Overrides!$H$11:$H$100,"B|"&amp;$C11&amp;"|"&amp;$D11),"")</x:f>
      </x:c>
      <x:c r="L11" s="1" t="str">
        <x:f aca="0">TRIM(B11)</x:f>
        <x:v>BODY</x:v>
      </x:c>
      <x:c r="M11" s="1" t="str">
        <x:f aca="0">IF($H11="","",1*$H11)</x:f>
      </x:c>
      <x:c r="N11" s="1" t="str">
        <x:f aca="0">IF($I11="","",1*$I11)</x:f>
      </x:c>
      <x:c r="O11" s="42" t="str">
        <x:f aca="0">IF($M11="","",$B11&amp;"|"&amp;ROUND($M11*1000000000000,0))</x:f>
      </x:c>
      <x:c r="P11" s="42" t="str">
        <x:f aca="0">IF($N11="","",$B11&amp;"|"&amp;ROUND($N11*1000000000000,0))</x:f>
      </x:c>
    </x:row>
    <x:row r="12" ht="14.25" hidden="0" customHeight="1">
      <x:c r="A12" s="1" t="n">
        <x:v>11</x:v>
      </x:c>
      <x:c r="B12" s="1" t="s">
        <x:v>61</x:v>
      </x:c>
      <x:c r="C12" s="1" t="s">
        <x:v>431</x:v>
      </x:c>
      <x:c r="D12" s="1" t="s">
        <x:v>428</x:v>
      </x:c>
      <x:c r="E12" s="1" t="n">
        <x:v>-0.7</x:v>
      </x:c>
      <x:c r="F12" s="10" t="n">
        <x:f aca="0">INDEX(I_prop!$B$7:$H$13, MATCH($C12, I_prop!$A$7:$A$13,0), MATCH($D12, I_prop!$B$6:$H$6,0))</x:f>
        <x:v>0</x:v>
      </x:c>
      <x:c r="G12" s="10" t="n">
        <x:f aca="0">INDEX(I_prop!$B$18:$H$24, MATCH($C12, I_prop!$A$18:$A$24,0), MATCH($D12, I_prop!$B$17:$H$17,0))</x:f>
        <x:v>0</x:v>
      </x:c>
      <x:c r="H12" s="10" t="n">
        <x:f aca="0">IF($J12&lt;&gt;"",$J12,IF($F12&lt;0,MAX(-1,Subgroup_Overrides!$B$7*$F12),$F12))</x:f>
        <x:v>0</x:v>
      </x:c>
      <x:c r="I12" s="10" t="n">
        <x:f aca="0">IF($K12&lt;&gt;"",$K12,IF($G12&lt;0,MAX(-1,Subgroup_Overrides!$B$7*$G12),$G12))</x:f>
        <x:v>0</x:v>
      </x:c>
      <x:c r="J12" s="41" t="str">
        <x:f aca="0">IF(COUNTIF(Subgroup_Overrides!$H$11:$H$100,"A|"&amp;$C12&amp;"|"&amp;$D12)&gt;0,SUMIFS(Subgroup_Overrides!$F$11:$F$100,Subgroup_Overrides!$H$11:$H$100,"A|"&amp;$C12&amp;"|"&amp;$D12),"")</x:f>
      </x:c>
      <x:c r="K12" s="41" t="str">
        <x:f aca="0">IF(COUNTIF(Subgroup_Overrides!$H$11:$H$100,"B|"&amp;$C12&amp;"|"&amp;$D12)&gt;0,SUMIFS(Subgroup_Overrides!$F$11:$F$100,Subgroup_Overrides!$H$11:$H$100,"B|"&amp;$C12&amp;"|"&amp;$D12),"")</x:f>
      </x:c>
      <x:c r="L12" s="1" t="str">
        <x:f aca="0">TRIM(B12)</x:f>
        <x:v>BODY</x:v>
      </x:c>
      <x:c r="M12" s="1" t="str">
        <x:f aca="0">IF($H12="","",1*$H12)</x:f>
      </x:c>
      <x:c r="N12" s="1" t="str">
        <x:f aca="0">IF($I12="","",1*$I12)</x:f>
      </x:c>
      <x:c r="O12" s="42" t="str">
        <x:f aca="0">IF($M12="","",$B12&amp;"|"&amp;ROUND($M12*1000000000000,0))</x:f>
      </x:c>
      <x:c r="P12" s="42" t="str">
        <x:f aca="0">IF($N12="","",$B12&amp;"|"&amp;ROUND($N12*1000000000000,0))</x:f>
      </x:c>
    </x:row>
    <x:row r="13" ht="14.25" hidden="0" customHeight="1">
      <x:c r="A13" s="1" t="n">
        <x:v>12</x:v>
      </x:c>
      <x:c r="B13" s="1" t="s">
        <x:v>61</x:v>
      </x:c>
      <x:c r="C13" s="1" t="s">
        <x:v>432</x:v>
      </x:c>
      <x:c r="D13" s="1" t="s">
        <x:v>428</x:v>
      </x:c>
      <x:c r="E13" s="1" t="n">
        <x:v>-0.7</x:v>
      </x:c>
      <x:c r="F13" s="10" t="n">
        <x:f aca="0">INDEX(I_prop!$B$7:$H$13, MATCH($C13, I_prop!$A$7:$A$13,0), MATCH($D13, I_prop!$B$6:$H$6,0))</x:f>
        <x:v>0</x:v>
      </x:c>
      <x:c r="G13" s="10" t="n">
        <x:f aca="0">INDEX(I_prop!$B$18:$H$24, MATCH($C13, I_prop!$A$18:$A$24,0), MATCH($D13, I_prop!$B$17:$H$17,0))</x:f>
        <x:v>0</x:v>
      </x:c>
      <x:c r="H13" s="10" t="n">
        <x:f aca="0">IF($J13&lt;&gt;"",$J13,IF($F13&lt;0,MAX(-1,Subgroup_Overrides!$B$7*$F13),$F13))</x:f>
        <x:v>0</x:v>
      </x:c>
      <x:c r="I13" s="10" t="n">
        <x:f aca="0">IF($K13&lt;&gt;"",$K13,IF($G13&lt;0,MAX(-1,Subgroup_Overrides!$B$7*$G13),$G13))</x:f>
        <x:v>0</x:v>
      </x:c>
      <x:c r="J13" s="41" t="str">
        <x:f aca="0">IF(COUNTIF(Subgroup_Overrides!$H$11:$H$100,"A|"&amp;$C13&amp;"|"&amp;$D13)&gt;0,SUMIFS(Subgroup_Overrides!$F$11:$F$100,Subgroup_Overrides!$H$11:$H$100,"A|"&amp;$C13&amp;"|"&amp;$D13),"")</x:f>
      </x:c>
      <x:c r="K13" s="41" t="str">
        <x:f aca="0">IF(COUNTIF(Subgroup_Overrides!$H$11:$H$100,"B|"&amp;$C13&amp;"|"&amp;$D13)&gt;0,SUMIFS(Subgroup_Overrides!$F$11:$F$100,Subgroup_Overrides!$H$11:$H$100,"B|"&amp;$C13&amp;"|"&amp;$D13),"")</x:f>
      </x:c>
      <x:c r="L13" s="1" t="str">
        <x:f aca="0">TRIM(B13)</x:f>
        <x:v>BODY</x:v>
      </x:c>
      <x:c r="M13" s="1" t="str">
        <x:f aca="0">IF($H13="","",1*$H13)</x:f>
      </x:c>
      <x:c r="N13" s="1" t="str">
        <x:f aca="0">IF($I13="","",1*$I13)</x:f>
      </x:c>
      <x:c r="O13" s="42" t="str">
        <x:f aca="0">IF($M13="","",$B13&amp;"|"&amp;ROUND($M13*1000000000000,0))</x:f>
      </x:c>
      <x:c r="P13" s="42" t="str">
        <x:f aca="0">IF($N13="","",$B13&amp;"|"&amp;ROUND($N13*1000000000000,0))</x:f>
      </x:c>
    </x:row>
    <x:row r="14" ht="14.25" hidden="0" customHeight="1">
      <x:c r="A14" s="1" t="n">
        <x:v>13</x:v>
      </x:c>
      <x:c r="B14" s="1" t="s">
        <x:v>61</x:v>
      </x:c>
      <x:c r="C14" s="1" t="s">
        <x:v>433</x:v>
      </x:c>
      <x:c r="D14" s="1" t="s">
        <x:v>428</x:v>
      </x:c>
      <x:c r="E14" s="1" t="n">
        <x:v>-0.7</x:v>
      </x:c>
      <x:c r="F14" s="10" t="n">
        <x:f aca="0">INDEX(I_prop!$B$7:$H$13, MATCH($C14, I_prop!$A$7:$A$13,0), MATCH($D14, I_prop!$B$6:$H$6,0))</x:f>
        <x:v>0</x:v>
      </x:c>
      <x:c r="G14" s="10" t="n">
        <x:f aca="0">INDEX(I_prop!$B$18:$H$24, MATCH($C14, I_prop!$A$18:$A$24,0), MATCH($D14, I_prop!$B$17:$H$17,0))</x:f>
        <x:v>0</x:v>
      </x:c>
      <x:c r="H14" s="10" t="n">
        <x:f aca="0">IF($J14&lt;&gt;"",$J14,IF($F14&lt;0,MAX(-1,Subgroup_Overrides!$B$7*$F14),$F14))</x:f>
        <x:v>0</x:v>
      </x:c>
      <x:c r="I14" s="10" t="n">
        <x:f aca="0">IF($K14&lt;&gt;"",$K14,IF($G14&lt;0,MAX(-1,Subgroup_Overrides!$B$7*$G14),$G14))</x:f>
        <x:v>0</x:v>
      </x:c>
      <x:c r="J14" s="41" t="str">
        <x:f aca="0">IF(COUNTIF(Subgroup_Overrides!$H$11:$H$100,"A|"&amp;$C14&amp;"|"&amp;$D14)&gt;0,SUMIFS(Subgroup_Overrides!$F$11:$F$100,Subgroup_Overrides!$H$11:$H$100,"A|"&amp;$C14&amp;"|"&amp;$D14),"")</x:f>
      </x:c>
      <x:c r="K14" s="41" t="str">
        <x:f aca="0">IF(COUNTIF(Subgroup_Overrides!$H$11:$H$100,"B|"&amp;$C14&amp;"|"&amp;$D14)&gt;0,SUMIFS(Subgroup_Overrides!$F$11:$F$100,Subgroup_Overrides!$H$11:$H$100,"B|"&amp;$C14&amp;"|"&amp;$D14),"")</x:f>
      </x:c>
      <x:c r="L14" s="1" t="str">
        <x:f aca="0">TRIM(B14)</x:f>
        <x:v>BODY</x:v>
      </x:c>
      <x:c r="M14" s="1" t="str">
        <x:f aca="0">IF($H14="","",1*$H14)</x:f>
      </x:c>
      <x:c r="N14" s="1" t="str">
        <x:f aca="0">IF($I14="","",1*$I14)</x:f>
      </x:c>
      <x:c r="O14" s="42" t="str">
        <x:f aca="0">IF($M14="","",$B14&amp;"|"&amp;ROUND($M14*1000000000000,0))</x:f>
      </x:c>
      <x:c r="P14" s="42" t="str">
        <x:f aca="0">IF($N14="","",$B14&amp;"|"&amp;ROUND($N14*1000000000000,0))</x:f>
      </x:c>
    </x:row>
    <x:row r="15" ht="14.25" hidden="0" customHeight="1">
      <x:c r="A15" s="1" t="n">
        <x:v>14</x:v>
      </x:c>
      <x:c r="B15" s="1" t="s">
        <x:v>62</x:v>
      </x:c>
      <x:c r="C15" s="1" t="s">
        <x:v>433</x:v>
      </x:c>
      <x:c r="D15" s="1" t="s">
        <x:v>434</x:v>
      </x:c>
      <x:c r="E15" s="1" t="n">
        <x:v>-0.65</x:v>
      </x:c>
      <x:c r="F15" s="10" t="n">
        <x:f aca="0">INDEX(I_prop!$B$7:$H$13, MATCH($C15, I_prop!$A$7:$A$13,0), MATCH($D15, I_prop!$B$6:$H$6,0))</x:f>
        <x:v>0</x:v>
      </x:c>
      <x:c r="G15" s="10" t="n">
        <x:f aca="0">INDEX(I_prop!$B$18:$H$24, MATCH($C15, I_prop!$A$18:$A$24,0), MATCH($D15, I_prop!$B$17:$H$17,0))</x:f>
        <x:v>0</x:v>
      </x:c>
      <x:c r="H15" s="10" t="n">
        <x:f aca="0">IF($J15&lt;&gt;"",$J15,IF($F15&lt;0,MAX(-1,Subgroup_Overrides!$B$7*$F15),$F15))</x:f>
        <x:v>0</x:v>
      </x:c>
      <x:c r="I15" s="10" t="n">
        <x:f aca="0">IF($K15&lt;&gt;"",$K15,IF($G15&lt;0,MAX(-1,Subgroup_Overrides!$B$7*$G15),$G15))</x:f>
        <x:v>0</x:v>
      </x:c>
      <x:c r="J15" s="41" t="str">
        <x:f aca="0">IF(COUNTIF(Subgroup_Overrides!$H$11:$H$100,"A|"&amp;$C15&amp;"|"&amp;$D15)&gt;0,SUMIFS(Subgroup_Overrides!$F$11:$F$100,Subgroup_Overrides!$H$11:$H$100,"A|"&amp;$C15&amp;"|"&amp;$D15),"")</x:f>
      </x:c>
      <x:c r="K15" s="41" t="str">
        <x:f aca="0">IF(COUNTIF(Subgroup_Overrides!$H$11:$H$100,"B|"&amp;$C15&amp;"|"&amp;$D15)&gt;0,SUMIFS(Subgroup_Overrides!$F$11:$F$100,Subgroup_Overrides!$H$11:$H$100,"B|"&amp;$C15&amp;"|"&amp;$D15),"")</x:f>
      </x:c>
      <x:c r="L15" s="1" t="str">
        <x:f aca="0">TRIM(B15)</x:f>
        <x:v>ECOL</x:v>
      </x:c>
      <x:c r="M15" s="1" t="str">
        <x:f aca="0">IF($H15="","",1*$H15)</x:f>
      </x:c>
      <x:c r="N15" s="1" t="str">
        <x:f aca="0">IF($I15="","",1*$I15)</x:f>
      </x:c>
      <x:c r="O15" s="42" t="str">
        <x:f aca="0">IF($M15="","",$B15&amp;"|"&amp;ROUND($M15*1000000000000,0))</x:f>
      </x:c>
      <x:c r="P15" s="42" t="str">
        <x:f aca="0">IF($N15="","",$B15&amp;"|"&amp;ROUND($N15*1000000000000,0))</x:f>
      </x:c>
    </x:row>
    <x:row r="16" ht="14.25" hidden="0" customHeight="1">
      <x:c r="A16" s="1" t="n">
        <x:v>15</x:v>
      </x:c>
      <x:c r="B16" s="1" t="s">
        <x:v>62</x:v>
      </x:c>
      <x:c r="C16" s="1" t="s">
        <x:v>435</x:v>
      </x:c>
      <x:c r="D16" s="1" t="s">
        <x:v>434</x:v>
      </x:c>
      <x:c r="E16" s="1" t="n">
        <x:v>-0.65</x:v>
      </x:c>
      <x:c r="F16" s="10">
        <x:f aca="0">INDEX(I_prop!$B$7:$H$13, MATCH($C16, I_prop!$A$7:$A$13,0), MATCH($D16, I_prop!$B$6:$H$6,0))</x:f>
        <x:v>0.01531651795735988</x:v>
      </x:c>
      <x:c r="G16" s="10">
        <x:f aca="0">INDEX(I_prop!$B$18:$H$24, MATCH($C16, I_prop!$A$18:$A$24,0), MATCH($D16, I_prop!$B$17:$H$17,0))</x:f>
        <x:v>-0.010211455619172184</x:v>
      </x:c>
      <x:c r="H16" s="10">
        <x:f aca="0">IF($J16&lt;&gt;"",$J16,IF($F16&lt;0,MAX(-1,Subgroup_Overrides!$B$7*$F16),$F16))</x:f>
        <x:v>0.01531651795735988</x:v>
      </x:c>
      <x:c r="I16" s="10" t="n">
        <x:f aca="0">IF($K16&lt;&gt;"",$K16,IF($G16&lt;0,MAX(-1,Subgroup_Overrides!$B$7*$G16),$G16))</x:f>
        <x:v>-0.08</x:v>
      </x:c>
      <x:c r="J16" s="41" t="str">
        <x:f aca="0">IF(COUNTIF(Subgroup_Overrides!$H$11:$H$100,"A|"&amp;$C16&amp;"|"&amp;$D16)&gt;0,SUMIFS(Subgroup_Overrides!$F$11:$F$100,Subgroup_Overrides!$H$11:$H$100,"A|"&amp;$C16&amp;"|"&amp;$D16),"")</x:f>
      </x:c>
      <x:c r="K16" s="41" t="n">
        <x:f aca="0">IF(COUNTIF(Subgroup_Overrides!$H$11:$H$100,"B|"&amp;$C16&amp;"|"&amp;$D16)&gt;0,SUMIFS(Subgroup_Overrides!$F$11:$F$100,Subgroup_Overrides!$H$11:$H$100,"B|"&amp;$C16&amp;"|"&amp;$D16),"")</x:f>
        <x:v>-0.08</x:v>
      </x:c>
      <x:c r="L16" s="1" t="str">
        <x:f aca="0">TRIM(B16)</x:f>
        <x:v>ECOL</x:v>
      </x:c>
      <x:c r="M16" s="1">
        <x:f aca="0">IF($H16="","",1*$H16)</x:f>
        <x:v>0.01531651795735988</x:v>
      </x:c>
      <x:c r="N16" s="1" t="n">
        <x:f aca="0">IF($I16="","",1*$I16)</x:f>
        <x:v>-0.08</x:v>
      </x:c>
      <x:c r="O16" s="42" t="str">
        <x:f aca="0">IF($M16="","",$B16&amp;"|"&amp;ROUND($M16*1000000000000,0))</x:f>
        <x:v>ECOL|15316517957</x:v>
      </x:c>
      <x:c r="P16" s="42" t="str">
        <x:f aca="0">IF($N16="","",$B16&amp;"|"&amp;ROUND($N16*1000000000000,0))</x:f>
        <x:v>ECOL|-80000000000</x:v>
      </x:c>
    </x:row>
    <x:row r="17" ht="14.25" hidden="0" customHeight="1">
      <x:c r="A17" s="1" t="n">
        <x:v>16</x:v>
      </x:c>
      <x:c r="B17" s="1" t="s">
        <x:v>63</x:v>
      </x:c>
      <x:c r="C17" s="1" t="s">
        <x:v>427</x:v>
      </x:c>
      <x:c r="D17" s="1" t="s">
        <x:v>436</x:v>
      </x:c>
      <x:c r="E17" s="1" t="n">
        <x:v>-0.65</x:v>
      </x:c>
      <x:c r="F17" s="10">
        <x:f aca="0">INDEX(I_prop!$B$7:$H$13, MATCH($C17, I_prop!$A$7:$A$13,0), MATCH($D17, I_prop!$B$6:$H$6,0))</x:f>
        <x:v>0.2490078843274226</x:v>
      </x:c>
      <x:c r="G17" s="10">
        <x:f aca="0">INDEX(I_prop!$B$18:$H$24, MATCH($C17, I_prop!$A$18:$A$24,0), MATCH($D17, I_prop!$B$17:$H$17,0))</x:f>
        <x:v>-0.046333567670633624</x:v>
      </x:c>
      <x:c r="H17" s="10">
        <x:f aca="0">IF($J17&lt;&gt;"",$J17,IF($F17&lt;0,MAX(-1,Subgroup_Overrides!$B$7*$F17),$F17))</x:f>
        <x:v>0.2490078843274226</x:v>
      </x:c>
      <x:c r="I17" s="10" t="n">
        <x:f aca="0">IF($K17&lt;&gt;"",$K17,IF($G17&lt;0,MAX(-1,Subgroup_Overrides!$B$7*$G17),$G17))</x:f>
        <x:v>-0.15</x:v>
      </x:c>
      <x:c r="J17" s="41" t="str">
        <x:f aca="0">IF(COUNTIF(Subgroup_Overrides!$H$11:$H$100,"A|"&amp;$C17&amp;"|"&amp;$D17)&gt;0,SUMIFS(Subgroup_Overrides!$F$11:$F$100,Subgroup_Overrides!$H$11:$H$100,"A|"&amp;$C17&amp;"|"&amp;$D17),"")</x:f>
      </x:c>
      <x:c r="K17" s="41" t="n">
        <x:f aca="0">IF(COUNTIF(Subgroup_Overrides!$H$11:$H$100,"B|"&amp;$C17&amp;"|"&amp;$D17)&gt;0,SUMIFS(Subgroup_Overrides!$F$11:$F$100,Subgroup_Overrides!$H$11:$H$100,"B|"&amp;$C17&amp;"|"&amp;$D17),"")</x:f>
        <x:v>-0.15</x:v>
      </x:c>
      <x:c r="L17" s="1" t="str">
        <x:f aca="0">TRIM(B17)</x:f>
        <x:v>LBTY</x:v>
      </x:c>
      <x:c r="M17" s="1">
        <x:f aca="0">IF($H17="","",1*$H17)</x:f>
        <x:v>0.2490078843274226</x:v>
      </x:c>
      <x:c r="N17" s="1" t="n">
        <x:f aca="0">IF($I17="","",1*$I17)</x:f>
        <x:v>-0.15</x:v>
      </x:c>
      <x:c r="O17" s="42" t="str">
        <x:f aca="0">IF($M17="","",$B17&amp;"|"&amp;ROUND($M17*1000000000000,0))</x:f>
        <x:v>LBTY|249007884327</x:v>
      </x:c>
      <x:c r="P17" s="42" t="str">
        <x:f aca="0">IF($N17="","",$B17&amp;"|"&amp;ROUND($N17*1000000000000,0))</x:f>
        <x:v>LBTY|-150000000000</x:v>
      </x:c>
    </x:row>
    <x:row r="18" ht="14.25" hidden="0" customHeight="1">
      <x:c r="A18" s="1" t="n">
        <x:v>17</x:v>
      </x:c>
      <x:c r="B18" s="1" t="s">
        <x:v>63</x:v>
      </x:c>
      <x:c r="C18" s="1" t="s">
        <x:v>429</x:v>
      </x:c>
      <x:c r="D18" s="1" t="s">
        <x:v>436</x:v>
      </x:c>
      <x:c r="E18" s="1" t="n">
        <x:v>-0.65</x:v>
      </x:c>
      <x:c r="F18" s="10" t="n">
        <x:f aca="0">INDEX(I_prop!$B$7:$H$13, MATCH($C18, I_prop!$A$7:$A$13,0), MATCH($D18, I_prop!$B$6:$H$6,0))</x:f>
        <x:v>0</x:v>
      </x:c>
      <x:c r="G18" s="10" t="n">
        <x:f aca="0">INDEX(I_prop!$B$18:$H$24, MATCH($C18, I_prop!$A$18:$A$24,0), MATCH($D18, I_prop!$B$17:$H$17,0))</x:f>
        <x:v>0</x:v>
      </x:c>
      <x:c r="H18" s="10" t="n">
        <x:f aca="0">IF($J18&lt;&gt;"",$J18,IF($F18&lt;0,MAX(-1,Subgroup_Overrides!$B$7*$F18),$F18))</x:f>
        <x:v>0</x:v>
      </x:c>
      <x:c r="I18" s="10" t="n">
        <x:f aca="0">IF($K18&lt;&gt;"",$K18,IF($G18&lt;0,MAX(-1,Subgroup_Overrides!$B$7*$G18),$G18))</x:f>
        <x:v>0</x:v>
      </x:c>
      <x:c r="J18" s="41" t="str">
        <x:f aca="0">IF(COUNTIF(Subgroup_Overrides!$H$11:$H$100,"A|"&amp;$C18&amp;"|"&amp;$D18)&gt;0,SUMIFS(Subgroup_Overrides!$F$11:$F$100,Subgroup_Overrides!$H$11:$H$100,"A|"&amp;$C18&amp;"|"&amp;$D18),"")</x:f>
      </x:c>
      <x:c r="K18" s="41" t="str">
        <x:f aca="0">IF(COUNTIF(Subgroup_Overrides!$H$11:$H$100,"B|"&amp;$C18&amp;"|"&amp;$D18)&gt;0,SUMIFS(Subgroup_Overrides!$F$11:$F$100,Subgroup_Overrides!$H$11:$H$100,"B|"&amp;$C18&amp;"|"&amp;$D18),"")</x:f>
      </x:c>
      <x:c r="L18" s="1" t="str">
        <x:f aca="0">TRIM(B18)</x:f>
        <x:v>LBTY</x:v>
      </x:c>
      <x:c r="M18" s="1" t="str">
        <x:f aca="0">IF($H18="","",1*$H18)</x:f>
      </x:c>
      <x:c r="N18" s="1" t="str">
        <x:f aca="0">IF($I18="","",1*$I18)</x:f>
      </x:c>
      <x:c r="O18" s="42" t="str">
        <x:f aca="0">IF($M18="","",$B18&amp;"|"&amp;ROUND($M18*1000000000000,0))</x:f>
      </x:c>
      <x:c r="P18" s="42" t="str">
        <x:f aca="0">IF($N18="","",$B18&amp;"|"&amp;ROUND($N18*1000000000000,0))</x:f>
      </x:c>
    </x:row>
    <x:row r="19" ht="14.25" hidden="0" customHeight="1">
      <x:c r="A19" s="1" t="n">
        <x:v>18</x:v>
      </x:c>
      <x:c r="B19" s="1" t="s">
        <x:v>63</x:v>
      </x:c>
      <x:c r="C19" s="1" t="s">
        <x:v>430</x:v>
      </x:c>
      <x:c r="D19" s="1" t="s">
        <x:v>436</x:v>
      </x:c>
      <x:c r="E19" s="1" t="n">
        <x:v>-0.65</x:v>
      </x:c>
      <x:c r="F19" s="10" t="n">
        <x:f aca="0">INDEX(I_prop!$B$7:$H$13, MATCH($C19, I_prop!$A$7:$A$13,0), MATCH($D19, I_prop!$B$6:$H$6,0))</x:f>
        <x:v>0</x:v>
      </x:c>
      <x:c r="G19" s="10" t="n">
        <x:f aca="0">INDEX(I_prop!$B$18:$H$24, MATCH($C19, I_prop!$A$18:$A$24,0), MATCH($D19, I_prop!$B$17:$H$17,0))</x:f>
        <x:v>0</x:v>
      </x:c>
      <x:c r="H19" s="10" t="n">
        <x:f aca="0">IF($J19&lt;&gt;"",$J19,IF($F19&lt;0,MAX(-1,Subgroup_Overrides!$B$7*$F19),$F19))</x:f>
        <x:v>0</x:v>
      </x:c>
      <x:c r="I19" s="10" t="n">
        <x:f aca="0">IF($K19&lt;&gt;"",$K19,IF($G19&lt;0,MAX(-1,Subgroup_Overrides!$B$7*$G19),$G19))</x:f>
        <x:v>0</x:v>
      </x:c>
      <x:c r="J19" s="41" t="str">
        <x:f aca="0">IF(COUNTIF(Subgroup_Overrides!$H$11:$H$100,"A|"&amp;$C19&amp;"|"&amp;$D19)&gt;0,SUMIFS(Subgroup_Overrides!$F$11:$F$100,Subgroup_Overrides!$H$11:$H$100,"A|"&amp;$C19&amp;"|"&amp;$D19),"")</x:f>
      </x:c>
      <x:c r="K19" s="41" t="str">
        <x:f aca="0">IF(COUNTIF(Subgroup_Overrides!$H$11:$H$100,"B|"&amp;$C19&amp;"|"&amp;$D19)&gt;0,SUMIFS(Subgroup_Overrides!$F$11:$F$100,Subgroup_Overrides!$H$11:$H$100,"B|"&amp;$C19&amp;"|"&amp;$D19),"")</x:f>
      </x:c>
      <x:c r="L19" s="1" t="str">
        <x:f aca="0">TRIM(B19)</x:f>
        <x:v>LBTY</x:v>
      </x:c>
      <x:c r="M19" s="1" t="str">
        <x:f aca="0">IF($H19="","",1*$H19)</x:f>
      </x:c>
      <x:c r="N19" s="1" t="str">
        <x:f aca="0">IF($I19="","",1*$I19)</x:f>
      </x:c>
      <x:c r="O19" s="42" t="str">
        <x:f aca="0">IF($M19="","",$B19&amp;"|"&amp;ROUND($M19*1000000000000,0))</x:f>
      </x:c>
      <x:c r="P19" s="42" t="str">
        <x:f aca="0">IF($N19="","",$B19&amp;"|"&amp;ROUND($N19*1000000000000,0))</x:f>
      </x:c>
    </x:row>
    <x:row r="20" ht="14.25" hidden="0" customHeight="1">
      <x:c r="A20" s="1" t="n">
        <x:v>19</x:v>
      </x:c>
      <x:c r="B20" s="1" t="s">
        <x:v>63</x:v>
      </x:c>
      <x:c r="C20" s="1" t="s">
        <x:v>431</x:v>
      </x:c>
      <x:c r="D20" s="1" t="s">
        <x:v>436</x:v>
      </x:c>
      <x:c r="E20" s="1" t="n">
        <x:v>-0.65</x:v>
      </x:c>
      <x:c r="F20" s="10" t="n">
        <x:f aca="0">INDEX(I_prop!$B$7:$H$13, MATCH($C20, I_prop!$A$7:$A$13,0), MATCH($D20, I_prop!$B$6:$H$6,0))</x:f>
        <x:v>0</x:v>
      </x:c>
      <x:c r="G20" s="10" t="n">
        <x:f aca="0">INDEX(I_prop!$B$18:$H$24, MATCH($C20, I_prop!$A$18:$A$24,0), MATCH($D20, I_prop!$B$17:$H$17,0))</x:f>
        <x:v>0</x:v>
      </x:c>
      <x:c r="H20" s="10" t="n">
        <x:f aca="0">IF($J20&lt;&gt;"",$J20,IF($F20&lt;0,MAX(-1,Subgroup_Overrides!$B$7*$F20),$F20))</x:f>
        <x:v>0</x:v>
      </x:c>
      <x:c r="I20" s="10" t="n">
        <x:f aca="0">IF($K20&lt;&gt;"",$K20,IF($G20&lt;0,MAX(-1,Subgroup_Overrides!$B$7*$G20),$G20))</x:f>
        <x:v>0</x:v>
      </x:c>
      <x:c r="J20" s="41" t="str">
        <x:f aca="0">IF(COUNTIF(Subgroup_Overrides!$H$11:$H$100,"A|"&amp;$C20&amp;"|"&amp;$D20)&gt;0,SUMIFS(Subgroup_Overrides!$F$11:$F$100,Subgroup_Overrides!$H$11:$H$100,"A|"&amp;$C20&amp;"|"&amp;$D20),"")</x:f>
      </x:c>
      <x:c r="K20" s="41" t="str">
        <x:f aca="0">IF(COUNTIF(Subgroup_Overrides!$H$11:$H$100,"B|"&amp;$C20&amp;"|"&amp;$D20)&gt;0,SUMIFS(Subgroup_Overrides!$F$11:$F$100,Subgroup_Overrides!$H$11:$H$100,"B|"&amp;$C20&amp;"|"&amp;$D20),"")</x:f>
      </x:c>
      <x:c r="L20" s="1" t="str">
        <x:f aca="0">TRIM(B20)</x:f>
        <x:v>LBTY</x:v>
      </x:c>
      <x:c r="M20" s="1" t="str">
        <x:f aca="0">IF($H20="","",1*$H20)</x:f>
      </x:c>
      <x:c r="N20" s="1" t="str">
        <x:f aca="0">IF($I20="","",1*$I20)</x:f>
      </x:c>
      <x:c r="O20" s="42" t="str">
        <x:f aca="0">IF($M20="","",$B20&amp;"|"&amp;ROUND($M20*1000000000000,0))</x:f>
      </x:c>
      <x:c r="P20" s="42" t="str">
        <x:f aca="0">IF($N20="","",$B20&amp;"|"&amp;ROUND($N20*1000000000000,0))</x:f>
      </x:c>
    </x:row>
    <x:row r="21" ht="14.25" hidden="0" customHeight="1">
      <x:c r="A21" s="1" t="n">
        <x:v>20</x:v>
      </x:c>
      <x:c r="B21" s="1" t="s">
        <x:v>63</x:v>
      </x:c>
      <x:c r="C21" s="1" t="s">
        <x:v>432</x:v>
      </x:c>
      <x:c r="D21" s="1" t="s">
        <x:v>436</x:v>
      </x:c>
      <x:c r="E21" s="1" t="n">
        <x:v>-0.65</x:v>
      </x:c>
      <x:c r="F21" s="10" t="n">
        <x:f aca="0">INDEX(I_prop!$B$7:$H$13, MATCH($C21, I_prop!$A$7:$A$13,0), MATCH($D21, I_prop!$B$6:$H$6,0))</x:f>
        <x:v>0</x:v>
      </x:c>
      <x:c r="G21" s="10" t="n">
        <x:f aca="0">INDEX(I_prop!$B$18:$H$24, MATCH($C21, I_prop!$A$18:$A$24,0), MATCH($D21, I_prop!$B$17:$H$17,0))</x:f>
        <x:v>0</x:v>
      </x:c>
      <x:c r="H21" s="10" t="n">
        <x:f aca="0">IF($J21&lt;&gt;"",$J21,IF($F21&lt;0,MAX(-1,Subgroup_Overrides!$B$7*$F21),$F21))</x:f>
        <x:v>0</x:v>
      </x:c>
      <x:c r="I21" s="10" t="n">
        <x:f aca="0">IF($K21&lt;&gt;"",$K21,IF($G21&lt;0,MAX(-1,Subgroup_Overrides!$B$7*$G21),$G21))</x:f>
        <x:v>0</x:v>
      </x:c>
      <x:c r="J21" s="41" t="str">
        <x:f aca="0">IF(COUNTIF(Subgroup_Overrides!$H$11:$H$100,"A|"&amp;$C21&amp;"|"&amp;$D21)&gt;0,SUMIFS(Subgroup_Overrides!$F$11:$F$100,Subgroup_Overrides!$H$11:$H$100,"A|"&amp;$C21&amp;"|"&amp;$D21),"")</x:f>
      </x:c>
      <x:c r="K21" s="41" t="str">
        <x:f aca="0">IF(COUNTIF(Subgroup_Overrides!$H$11:$H$100,"B|"&amp;$C21&amp;"|"&amp;$D21)&gt;0,SUMIFS(Subgroup_Overrides!$F$11:$F$100,Subgroup_Overrides!$H$11:$H$100,"B|"&amp;$C21&amp;"|"&amp;$D21),"")</x:f>
      </x:c>
      <x:c r="L21" s="1" t="str">
        <x:f aca="0">TRIM(B21)</x:f>
        <x:v>LBTY</x:v>
      </x:c>
      <x:c r="M21" s="1" t="str">
        <x:f aca="0">IF($H21="","",1*$H21)</x:f>
      </x:c>
      <x:c r="N21" s="1" t="str">
        <x:f aca="0">IF($I21="","",1*$I21)</x:f>
      </x:c>
      <x:c r="O21" s="42" t="str">
        <x:f aca="0">IF($M21="","",$B21&amp;"|"&amp;ROUND($M21*1000000000000,0))</x:f>
      </x:c>
      <x:c r="P21" s="42" t="str">
        <x:f aca="0">IF($N21="","",$B21&amp;"|"&amp;ROUND($N21*1000000000000,0))</x:f>
      </x:c>
    </x:row>
    <x:row r="22" ht="14.25" hidden="0" customHeight="1">
      <x:c r="A22" s="1" t="n">
        <x:v>21</x:v>
      </x:c>
      <x:c r="B22" s="1" t="s">
        <x:v>63</x:v>
      </x:c>
      <x:c r="C22" s="1" t="s">
        <x:v>433</x:v>
      </x:c>
      <x:c r="D22" s="1" t="s">
        <x:v>436</x:v>
      </x:c>
      <x:c r="E22" s="1" t="n">
        <x:v>-0.65</x:v>
      </x:c>
      <x:c r="F22" s="10" t="n">
        <x:f aca="0">INDEX(I_prop!$B$7:$H$13, MATCH($C22, I_prop!$A$7:$A$13,0), MATCH($D22, I_prop!$B$6:$H$6,0))</x:f>
        <x:v>0</x:v>
      </x:c>
      <x:c r="G22" s="10" t="n">
        <x:f aca="0">INDEX(I_prop!$B$18:$H$24, MATCH($C22, I_prop!$A$18:$A$24,0), MATCH($D22, I_prop!$B$17:$H$17,0))</x:f>
        <x:v>0</x:v>
      </x:c>
      <x:c r="H22" s="10" t="n">
        <x:f aca="0">IF($J22&lt;&gt;"",$J22,IF($F22&lt;0,MAX(-1,Subgroup_Overrides!$B$7*$F22),$F22))</x:f>
        <x:v>0</x:v>
      </x:c>
      <x:c r="I22" s="10" t="n">
        <x:f aca="0">IF($K22&lt;&gt;"",$K22,IF($G22&lt;0,MAX(-1,Subgroup_Overrides!$B$7*$G22),$G22))</x:f>
        <x:v>0</x:v>
      </x:c>
      <x:c r="J22" s="41" t="str">
        <x:f aca="0">IF(COUNTIF(Subgroup_Overrides!$H$11:$H$100,"A|"&amp;$C22&amp;"|"&amp;$D22)&gt;0,SUMIFS(Subgroup_Overrides!$F$11:$F$100,Subgroup_Overrides!$H$11:$H$100,"A|"&amp;$C22&amp;"|"&amp;$D22),"")</x:f>
      </x:c>
      <x:c r="K22" s="41" t="str">
        <x:f aca="0">IF(COUNTIF(Subgroup_Overrides!$H$11:$H$100,"B|"&amp;$C22&amp;"|"&amp;$D22)&gt;0,SUMIFS(Subgroup_Overrides!$F$11:$F$100,Subgroup_Overrides!$H$11:$H$100,"B|"&amp;$C22&amp;"|"&amp;$D22),"")</x:f>
      </x:c>
      <x:c r="L22" s="1" t="str">
        <x:f aca="0">TRIM(B22)</x:f>
        <x:v>LBTY</x:v>
      </x:c>
      <x:c r="M22" s="1" t="str">
        <x:f aca="0">IF($H22="","",1*$H22)</x:f>
      </x:c>
      <x:c r="N22" s="1" t="str">
        <x:f aca="0">IF($I22="","",1*$I22)</x:f>
      </x:c>
      <x:c r="O22" s="42" t="str">
        <x:f aca="0">IF($M22="","",$B22&amp;"|"&amp;ROUND($M22*1000000000000,0))</x:f>
      </x:c>
      <x:c r="P22" s="42" t="str">
        <x:f aca="0">IF($N22="","",$B22&amp;"|"&amp;ROUND($N22*1000000000000,0))</x:f>
      </x:c>
    </x:row>
    <x:row r="23" ht="14.25" hidden="0" customHeight="1">
      <x:c r="A23" s="1" t="n">
        <x:v>22</x:v>
      </x:c>
      <x:c r="B23" s="1" t="s">
        <x:v>63</x:v>
      </x:c>
      <x:c r="C23" s="1" t="s">
        <x:v>430</x:v>
      </x:c>
      <x:c r="D23" s="1" t="s">
        <x:v>437</x:v>
      </x:c>
      <x:c r="E23" s="1" t="n">
        <x:v>-0.65</x:v>
      </x:c>
      <x:c r="F23" s="10">
        <x:f aca="0">INDEX(I_prop!$B$7:$H$13, MATCH($C23, I_prop!$A$7:$A$13,0), MATCH($D23, I_prop!$B$6:$H$6,0))</x:f>
        <x:v>-0.08072568681553846</x:v>
      </x:c>
      <x:c r="G23" s="10">
        <x:f aca="0">INDEX(I_prop!$B$18:$H$24, MATCH($C23, I_prop!$A$18:$A$24,0), MATCH($D23, I_prop!$B$17:$H$17,0))</x:f>
        <x:v>0.06151557221350915</x:v>
      </x:c>
      <x:c r="H23" s="10" t="n">
        <x:f aca="0">IF($J23&lt;&gt;"",$J23,IF($F23&lt;0,MAX(-1,Subgroup_Overrides!$B$7*$F23),$F23))</x:f>
        <x:v>-0.15</x:v>
      </x:c>
      <x:c r="I23" s="10">
        <x:f aca="0">IF($K23&lt;&gt;"",$K23,IF($G23&lt;0,MAX(-1,Subgroup_Overrides!$B$7*$G23),$G23))</x:f>
        <x:v>0.06151557221350915</x:v>
      </x:c>
      <x:c r="J23" s="41" t="n">
        <x:f aca="0">IF(COUNTIF(Subgroup_Overrides!$H$11:$H$100,"A|"&amp;$C23&amp;"|"&amp;$D23)&gt;0,SUMIFS(Subgroup_Overrides!$F$11:$F$100,Subgroup_Overrides!$H$11:$H$100,"A|"&amp;$C23&amp;"|"&amp;$D23),"")</x:f>
        <x:v>-0.15</x:v>
      </x:c>
      <x:c r="K23" s="41" t="str">
        <x:f aca="0">IF(COUNTIF(Subgroup_Overrides!$H$11:$H$100,"B|"&amp;$C23&amp;"|"&amp;$D23)&gt;0,SUMIFS(Subgroup_Overrides!$F$11:$F$100,Subgroup_Overrides!$H$11:$H$100,"B|"&amp;$C23&amp;"|"&amp;$D23),"")</x:f>
      </x:c>
      <x:c r="L23" s="1" t="str">
        <x:f aca="0">TRIM(B23)</x:f>
        <x:v>LBTY</x:v>
      </x:c>
      <x:c r="M23" s="1" t="n">
        <x:f aca="0">IF($H23="","",1*$H23)</x:f>
        <x:v>-0.15</x:v>
      </x:c>
      <x:c r="N23" s="1">
        <x:f aca="0">IF($I23="","",1*$I23)</x:f>
        <x:v>0.06151557221350915</x:v>
      </x:c>
      <x:c r="O23" s="42" t="str">
        <x:f aca="0">IF($M23="","",$B23&amp;"|"&amp;ROUND($M23*1000000000000,0))</x:f>
        <x:v>LBTY|-150000000000</x:v>
      </x:c>
      <x:c r="P23" s="42" t="str">
        <x:f aca="0">IF($N23="","",$B23&amp;"|"&amp;ROUND($N23*1000000000000,0))</x:f>
        <x:v>LBTY|61515572214</x:v>
      </x:c>
    </x:row>
    <x:row r="24" ht="14.25" hidden="0" customHeight="1">
      <x:c r="A24" s="1" t="n">
        <x:v>23</x:v>
      </x:c>
      <x:c r="B24" s="1" t="s">
        <x:v>63</x:v>
      </x:c>
      <x:c r="C24" s="1" t="s">
        <x:v>431</x:v>
      </x:c>
      <x:c r="D24" s="1" t="s">
        <x:v>437</x:v>
      </x:c>
      <x:c r="E24" s="1" t="n">
        <x:v>-0.65</x:v>
      </x:c>
      <x:c r="F24" s="10" t="n">
        <x:f aca="0">INDEX(I_prop!$B$7:$H$13, MATCH($C24, I_prop!$A$7:$A$13,0), MATCH($D24, I_prop!$B$6:$H$6,0))</x:f>
        <x:v>0</x:v>
      </x:c>
      <x:c r="G24" s="10" t="n">
        <x:f aca="0">INDEX(I_prop!$B$18:$H$24, MATCH($C24, I_prop!$A$18:$A$24,0), MATCH($D24, I_prop!$B$17:$H$17,0))</x:f>
        <x:v>0</x:v>
      </x:c>
      <x:c r="H24" s="10" t="n">
        <x:f aca="0">IF($J24&lt;&gt;"",$J24,IF($F24&lt;0,MAX(-1,Subgroup_Overrides!$B$7*$F24),$F24))</x:f>
        <x:v>0</x:v>
      </x:c>
      <x:c r="I24" s="10" t="n">
        <x:f aca="0">IF($K24&lt;&gt;"",$K24,IF($G24&lt;0,MAX(-1,Subgroup_Overrides!$B$7*$G24),$G24))</x:f>
        <x:v>0</x:v>
      </x:c>
      <x:c r="J24" s="41" t="str">
        <x:f aca="0">IF(COUNTIF(Subgroup_Overrides!$H$11:$H$100,"A|"&amp;$C24&amp;"|"&amp;$D24)&gt;0,SUMIFS(Subgroup_Overrides!$F$11:$F$100,Subgroup_Overrides!$H$11:$H$100,"A|"&amp;$C24&amp;"|"&amp;$D24),"")</x:f>
      </x:c>
      <x:c r="K24" s="41" t="str">
        <x:f aca="0">IF(COUNTIF(Subgroup_Overrides!$H$11:$H$100,"B|"&amp;$C24&amp;"|"&amp;$D24)&gt;0,SUMIFS(Subgroup_Overrides!$F$11:$F$100,Subgroup_Overrides!$H$11:$H$100,"B|"&amp;$C24&amp;"|"&amp;$D24),"")</x:f>
      </x:c>
      <x:c r="L24" s="1" t="str">
        <x:f aca="0">TRIM(B24)</x:f>
        <x:v>LBTY</x:v>
      </x:c>
      <x:c r="M24" s="1" t="str">
        <x:f aca="0">IF($H24="","",1*$H24)</x:f>
      </x:c>
      <x:c r="N24" s="1" t="str">
        <x:f aca="0">IF($I24="","",1*$I24)</x:f>
      </x:c>
      <x:c r="O24" s="42" t="str">
        <x:f aca="0">IF($M24="","",$B24&amp;"|"&amp;ROUND($M24*1000000000000,0))</x:f>
      </x:c>
      <x:c r="P24" s="42" t="str">
        <x:f aca="0">IF($N24="","",$B24&amp;"|"&amp;ROUND($N24*1000000000000,0))</x:f>
      </x:c>
    </x:row>
    <x:row r="25" ht="14.25" hidden="0" customHeight="1">
      <x:c r="A25" s="1" t="n">
        <x:v>24</x:v>
      </x:c>
      <x:c r="B25" s="1" t="s">
        <x:v>63</x:v>
      </x:c>
      <x:c r="C25" s="1" t="s">
        <x:v>432</x:v>
      </x:c>
      <x:c r="D25" s="1" t="s">
        <x:v>437</x:v>
      </x:c>
      <x:c r="E25" s="1" t="n">
        <x:v>-0.65</x:v>
      </x:c>
      <x:c r="F25" s="10" t="n">
        <x:f aca="0">INDEX(I_prop!$B$7:$H$13, MATCH($C25, I_prop!$A$7:$A$13,0), MATCH($D25, I_prop!$B$6:$H$6,0))</x:f>
        <x:v>0</x:v>
      </x:c>
      <x:c r="G25" s="10" t="n">
        <x:f aca="0">INDEX(I_prop!$B$18:$H$24, MATCH($C25, I_prop!$A$18:$A$24,0), MATCH($D25, I_prop!$B$17:$H$17,0))</x:f>
        <x:v>0</x:v>
      </x:c>
      <x:c r="H25" s="10" t="n">
        <x:f aca="0">IF($J25&lt;&gt;"",$J25,IF($F25&lt;0,MAX(-1,Subgroup_Overrides!$B$7*$F25),$F25))</x:f>
        <x:v>0</x:v>
      </x:c>
      <x:c r="I25" s="10" t="n">
        <x:f aca="0">IF($K25&lt;&gt;"",$K25,IF($G25&lt;0,MAX(-1,Subgroup_Overrides!$B$7*$G25),$G25))</x:f>
        <x:v>0</x:v>
      </x:c>
      <x:c r="J25" s="41" t="str">
        <x:f aca="0">IF(COUNTIF(Subgroup_Overrides!$H$11:$H$100,"A|"&amp;$C25&amp;"|"&amp;$D25)&gt;0,SUMIFS(Subgroup_Overrides!$F$11:$F$100,Subgroup_Overrides!$H$11:$H$100,"A|"&amp;$C25&amp;"|"&amp;$D25),"")</x:f>
      </x:c>
      <x:c r="K25" s="41" t="str">
        <x:f aca="0">IF(COUNTIF(Subgroup_Overrides!$H$11:$H$100,"B|"&amp;$C25&amp;"|"&amp;$D25)&gt;0,SUMIFS(Subgroup_Overrides!$F$11:$F$100,Subgroup_Overrides!$H$11:$H$100,"B|"&amp;$C25&amp;"|"&amp;$D25),"")</x:f>
      </x:c>
      <x:c r="L25" s="1" t="str">
        <x:f aca="0">TRIM(B25)</x:f>
        <x:v>LBTY</x:v>
      </x:c>
      <x:c r="M25" s="1" t="str">
        <x:f aca="0">IF($H25="","",1*$H25)</x:f>
      </x:c>
      <x:c r="N25" s="1" t="str">
        <x:f aca="0">IF($I25="","",1*$I25)</x:f>
      </x:c>
      <x:c r="O25" s="42" t="str">
        <x:f aca="0">IF($M25="","",$B25&amp;"|"&amp;ROUND($M25*1000000000000,0))</x:f>
      </x:c>
      <x:c r="P25" s="42" t="str">
        <x:f aca="0">IF($N25="","",$B25&amp;"|"&amp;ROUND($N25*1000000000000,0))</x:f>
      </x:c>
    </x:row>
    <x:row r="26" ht="14.25" hidden="0" customHeight="1">
      <x:c r="A26" s="1" t="n">
        <x:v>25</x:v>
      </x:c>
      <x:c r="B26" s="1" t="s">
        <x:v>63</x:v>
      </x:c>
      <x:c r="C26" s="1" t="s">
        <x:v>433</x:v>
      </x:c>
      <x:c r="D26" s="1" t="s">
        <x:v>437</x:v>
      </x:c>
      <x:c r="E26" s="1" t="n">
        <x:v>-0.65</x:v>
      </x:c>
      <x:c r="F26" s="10" t="n">
        <x:f aca="0">INDEX(I_prop!$B$7:$H$13, MATCH($C26, I_prop!$A$7:$A$13,0), MATCH($D26, I_prop!$B$6:$H$6,0))</x:f>
        <x:v>0</x:v>
      </x:c>
      <x:c r="G26" s="10" t="n">
        <x:f aca="0">INDEX(I_prop!$B$18:$H$24, MATCH($C26, I_prop!$A$18:$A$24,0), MATCH($D26, I_prop!$B$17:$H$17,0))</x:f>
        <x:v>0</x:v>
      </x:c>
      <x:c r="H26" s="10" t="n">
        <x:f aca="0">IF($J26&lt;&gt;"",$J26,IF($F26&lt;0,MAX(-1,Subgroup_Overrides!$B$7*$F26),$F26))</x:f>
        <x:v>0</x:v>
      </x:c>
      <x:c r="I26" s="10" t="n">
        <x:f aca="0">IF($K26&lt;&gt;"",$K26,IF($G26&lt;0,MAX(-1,Subgroup_Overrides!$B$7*$G26),$G26))</x:f>
        <x:v>0</x:v>
      </x:c>
      <x:c r="J26" s="41" t="str">
        <x:f aca="0">IF(COUNTIF(Subgroup_Overrides!$H$11:$H$100,"A|"&amp;$C26&amp;"|"&amp;$D26)&gt;0,SUMIFS(Subgroup_Overrides!$F$11:$F$100,Subgroup_Overrides!$H$11:$H$100,"A|"&amp;$C26&amp;"|"&amp;$D26),"")</x:f>
      </x:c>
      <x:c r="K26" s="41" t="str">
        <x:f aca="0">IF(COUNTIF(Subgroup_Overrides!$H$11:$H$100,"B|"&amp;$C26&amp;"|"&amp;$D26)&gt;0,SUMIFS(Subgroup_Overrides!$F$11:$F$100,Subgroup_Overrides!$H$11:$H$100,"B|"&amp;$C26&amp;"|"&amp;$D26),"")</x:f>
      </x:c>
      <x:c r="L26" s="1" t="str">
        <x:f aca="0">TRIM(B26)</x:f>
        <x:v>LBTY</x:v>
      </x:c>
      <x:c r="M26" s="1" t="str">
        <x:f aca="0">IF($H26="","",1*$H26)</x:f>
      </x:c>
      <x:c r="N26" s="1" t="str">
        <x:f aca="0">IF($I26="","",1*$I26)</x:f>
      </x:c>
      <x:c r="O26" s="42" t="str">
        <x:f aca="0">IF($M26="","",$B26&amp;"|"&amp;ROUND($M26*1000000000000,0))</x:f>
      </x:c>
      <x:c r="P26" s="42" t="str">
        <x:f aca="0">IF($N26="","",$B26&amp;"|"&amp;ROUND($N26*1000000000000,0))</x:f>
      </x:c>
    </x:row>
    <x:row r="27" ht="14.25" hidden="0" customHeight="1">
      <x:c r="A27" s="1" t="n">
        <x:v>26</x:v>
      </x:c>
      <x:c r="B27" s="1" t="s">
        <x:v>64</x:v>
      </x:c>
      <x:c r="C27" s="1" t="s">
        <x:v>427</x:v>
      </x:c>
      <x:c r="D27" s="1" t="s">
        <x:v>438</x:v>
      </x:c>
      <x:c r="E27" s="1" t="n">
        <x:v>-0.5</x:v>
      </x:c>
      <x:c r="F27" s="10" t="n">
        <x:f aca="0">INDEX(I_prop!$B$7:$H$13, MATCH($C27, I_prop!$A$7:$A$13,0), MATCH($D27, I_prop!$B$6:$H$6,0))</x:f>
        <x:v>0</x:v>
      </x:c>
      <x:c r="G27" s="10" t="n">
        <x:f aca="0">INDEX(I_prop!$B$18:$H$24, MATCH($C27, I_prop!$A$18:$A$24,0), MATCH($D27, I_prop!$B$17:$H$17,0))</x:f>
        <x:v>0</x:v>
      </x:c>
      <x:c r="H27" s="10" t="n">
        <x:f aca="0">IF($J27&lt;&gt;"",$J27,IF($F27&lt;0,MAX(-1,Subgroup_Overrides!$B$7*$F27),$F27))</x:f>
        <x:v>0</x:v>
      </x:c>
      <x:c r="I27" s="10" t="n">
        <x:f aca="0">IF($K27&lt;&gt;"",$K27,IF($G27&lt;0,MAX(-1,Subgroup_Overrides!$B$7*$G27),$G27))</x:f>
        <x:v>0</x:v>
      </x:c>
      <x:c r="J27" s="41" t="str">
        <x:f aca="0">IF(COUNTIF(Subgroup_Overrides!$H$11:$H$100,"A|"&amp;$C27&amp;"|"&amp;$D27)&gt;0,SUMIFS(Subgroup_Overrides!$F$11:$F$100,Subgroup_Overrides!$H$11:$H$100,"A|"&amp;$C27&amp;"|"&amp;$D27),"")</x:f>
      </x:c>
      <x:c r="K27" s="41" t="str">
        <x:f aca="0">IF(COUNTIF(Subgroup_Overrides!$H$11:$H$100,"B|"&amp;$C27&amp;"|"&amp;$D27)&gt;0,SUMIFS(Subgroup_Overrides!$F$11:$F$100,Subgroup_Overrides!$H$11:$H$100,"B|"&amp;$C27&amp;"|"&amp;$D27),"")</x:f>
      </x:c>
      <x:c r="L27" s="1" t="str">
        <x:f aca="0">TRIM(B27)</x:f>
        <x:v>NEED</x:v>
      </x:c>
      <x:c r="M27" s="1" t="str">
        <x:f aca="0">IF($H27="","",1*$H27)</x:f>
      </x:c>
      <x:c r="N27" s="1" t="str">
        <x:f aca="0">IF($I27="","",1*$I27)</x:f>
      </x:c>
      <x:c r="O27" s="42" t="str">
        <x:f aca="0">IF($M27="","",$B27&amp;"|"&amp;ROUND($M27*1000000000000,0))</x:f>
      </x:c>
      <x:c r="P27" s="42" t="str">
        <x:f aca="0">IF($N27="","",$B27&amp;"|"&amp;ROUND($N27*1000000000000,0))</x:f>
      </x:c>
    </x:row>
    <x:row r="28" ht="14.25" hidden="0" customHeight="1">
      <x:c r="A28" s="1" t="n">
        <x:v>27</x:v>
      </x:c>
      <x:c r="B28" s="1" t="s">
        <x:v>64</x:v>
      </x:c>
      <x:c r="C28" s="1" t="s">
        <x:v>427</x:v>
      </x:c>
      <x:c r="D28" s="1" t="s">
        <x:v>428</x:v>
      </x:c>
      <x:c r="E28" s="1" t="n">
        <x:v>-0.5</x:v>
      </x:c>
      <x:c r="F28" s="10" t="n">
        <x:f aca="0">INDEX(I_prop!$B$7:$H$13, MATCH($C28, I_prop!$A$7:$A$13,0), MATCH($D28, I_prop!$B$6:$H$6,0))</x:f>
        <x:v>0</x:v>
      </x:c>
      <x:c r="G28" s="10" t="n">
        <x:f aca="0">INDEX(I_prop!$B$18:$H$24, MATCH($C28, I_prop!$A$18:$A$24,0), MATCH($D28, I_prop!$B$17:$H$17,0))</x:f>
        <x:v>0</x:v>
      </x:c>
      <x:c r="H28" s="10" t="n">
        <x:f aca="0">IF($J28&lt;&gt;"",$J28,IF($F28&lt;0,MAX(-1,Subgroup_Overrides!$B$7*$F28),$F28))</x:f>
        <x:v>0</x:v>
      </x:c>
      <x:c r="I28" s="10" t="n">
        <x:f aca="0">IF($K28&lt;&gt;"",$K28,IF($G28&lt;0,MAX(-1,Subgroup_Overrides!$B$7*$G28),$G28))</x:f>
        <x:v>0</x:v>
      </x:c>
      <x:c r="J28" s="41" t="str">
        <x:f aca="0">IF(COUNTIF(Subgroup_Overrides!$H$11:$H$100,"A|"&amp;$C28&amp;"|"&amp;$D28)&gt;0,SUMIFS(Subgroup_Overrides!$F$11:$F$100,Subgroup_Overrides!$H$11:$H$100,"A|"&amp;$C28&amp;"|"&amp;$D28),"")</x:f>
      </x:c>
      <x:c r="K28" s="41" t="str">
        <x:f aca="0">IF(COUNTIF(Subgroup_Overrides!$H$11:$H$100,"B|"&amp;$C28&amp;"|"&amp;$D28)&gt;0,SUMIFS(Subgroup_Overrides!$F$11:$F$100,Subgroup_Overrides!$H$11:$H$100,"B|"&amp;$C28&amp;"|"&amp;$D28),"")</x:f>
      </x:c>
      <x:c r="L28" s="1" t="str">
        <x:f aca="0">TRIM(B28)</x:f>
        <x:v>NEED</x:v>
      </x:c>
      <x:c r="M28" s="1" t="str">
        <x:f aca="0">IF($H28="","",1*$H28)</x:f>
      </x:c>
      <x:c r="N28" s="1" t="str">
        <x:f aca="0">IF($I28="","",1*$I28)</x:f>
      </x:c>
      <x:c r="O28" s="42" t="str">
        <x:f aca="0">IF($M28="","",$B28&amp;"|"&amp;ROUND($M28*1000000000000,0))</x:f>
      </x:c>
      <x:c r="P28" s="42" t="str">
        <x:f aca="0">IF($N28="","",$B28&amp;"|"&amp;ROUND($N28*1000000000000,0))</x:f>
      </x:c>
    </x:row>
    <x:row r="29" ht="14.25" hidden="0" customHeight="1">
      <x:c r="A29" s="1" t="n">
        <x:v>28</x:v>
      </x:c>
      <x:c r="B29" s="1" t="s">
        <x:v>64</x:v>
      </x:c>
      <x:c r="C29" s="1" t="s">
        <x:v>429</x:v>
      </x:c>
      <x:c r="D29" s="1" t="s">
        <x:v>438</x:v>
      </x:c>
      <x:c r="E29" s="1" t="n">
        <x:v>-0.5</x:v>
      </x:c>
      <x:c r="F29" s="10">
        <x:f aca="0">INDEX(I_prop!$B$7:$H$13, MATCH($C29, I_prop!$A$7:$A$13,0), MATCH($D29, I_prop!$B$6:$H$6,0))</x:f>
        <x:v>0.046162176234088866</x:v>
      </x:c>
      <x:c r="G29" s="10">
        <x:f aca="0">INDEX(I_prop!$B$18:$H$24, MATCH($C29, I_prop!$A$18:$A$24,0), MATCH($D29, I_prop!$B$17:$H$17,0))</x:f>
        <x:v>-0.01847590043753792</x:v>
      </x:c>
      <x:c r="H29" s="10">
        <x:f aca="0">IF($J29&lt;&gt;"",$J29,IF($F29&lt;0,MAX(-1,Subgroup_Overrides!$B$7*$F29),$F29))</x:f>
        <x:v>0.046162176234088866</x:v>
      </x:c>
      <x:c r="I29" s="10" t="n">
        <x:f aca="0">IF($K29&lt;&gt;"",$K29,IF($G29&lt;0,MAX(-1,Subgroup_Overrides!$B$7*$G29),$G29))</x:f>
        <x:v>-0.12</x:v>
      </x:c>
      <x:c r="J29" s="41" t="str">
        <x:f aca="0">IF(COUNTIF(Subgroup_Overrides!$H$11:$H$100,"A|"&amp;$C29&amp;"|"&amp;$D29)&gt;0,SUMIFS(Subgroup_Overrides!$F$11:$F$100,Subgroup_Overrides!$H$11:$H$100,"A|"&amp;$C29&amp;"|"&amp;$D29),"")</x:f>
      </x:c>
      <x:c r="K29" s="41" t="n">
        <x:f aca="0">IF(COUNTIF(Subgroup_Overrides!$H$11:$H$100,"B|"&amp;$C29&amp;"|"&amp;$D29)&gt;0,SUMIFS(Subgroup_Overrides!$F$11:$F$100,Subgroup_Overrides!$H$11:$H$100,"B|"&amp;$C29&amp;"|"&amp;$D29),"")</x:f>
        <x:v>-0.12</x:v>
      </x:c>
      <x:c r="L29" s="1" t="str">
        <x:f aca="0">TRIM(B29)</x:f>
        <x:v>NEED</x:v>
      </x:c>
      <x:c r="M29" s="1">
        <x:f aca="0">IF($H29="","",1*$H29)</x:f>
        <x:v>0.046162176234088866</x:v>
      </x:c>
      <x:c r="N29" s="1" t="n">
        <x:f aca="0">IF($I29="","",1*$I29)</x:f>
        <x:v>-0.12</x:v>
      </x:c>
      <x:c r="O29" s="42" t="str">
        <x:f aca="0">IF($M29="","",$B29&amp;"|"&amp;ROUND($M29*1000000000000,0))</x:f>
        <x:v>NEED|46162176234</x:v>
      </x:c>
      <x:c r="P29" s="42" t="str">
        <x:f aca="0">IF($N29="","",$B29&amp;"|"&amp;ROUND($N29*1000000000000,0))</x:f>
        <x:v>NEED|-120000000000</x:v>
      </x:c>
    </x:row>
    <x:row r="30" ht="14.25" hidden="0" customHeight="1">
      <x:c r="A30" s="1" t="n">
        <x:v>29</x:v>
      </x:c>
      <x:c r="B30" s="1" t="s">
        <x:v>64</x:v>
      </x:c>
      <x:c r="C30" s="1" t="s">
        <x:v>429</x:v>
      </x:c>
      <x:c r="D30" s="1" t="s">
        <x:v>428</x:v>
      </x:c>
      <x:c r="E30" s="1" t="n">
        <x:v>-0.5</x:v>
      </x:c>
      <x:c r="F30" s="10" t="n">
        <x:f aca="0">INDEX(I_prop!$B$7:$H$13, MATCH($C30, I_prop!$A$7:$A$13,0), MATCH($D30, I_prop!$B$6:$H$6,0))</x:f>
        <x:v>0</x:v>
      </x:c>
      <x:c r="G30" s="10" t="n">
        <x:f aca="0">INDEX(I_prop!$B$18:$H$24, MATCH($C30, I_prop!$A$18:$A$24,0), MATCH($D30, I_prop!$B$17:$H$17,0))</x:f>
        <x:v>0</x:v>
      </x:c>
      <x:c r="H30" s="10" t="n">
        <x:f aca="0">IF($J30&lt;&gt;"",$J30,IF($F30&lt;0,MAX(-1,Subgroup_Overrides!$B$7*$F30),$F30))</x:f>
        <x:v>0</x:v>
      </x:c>
      <x:c r="I30" s="10" t="n">
        <x:f aca="0">IF($K30&lt;&gt;"",$K30,IF($G30&lt;0,MAX(-1,Subgroup_Overrides!$B$7*$G30),$G30))</x:f>
        <x:v>0</x:v>
      </x:c>
      <x:c r="J30" s="41" t="str">
        <x:f aca="0">IF(COUNTIF(Subgroup_Overrides!$H$11:$H$100,"A|"&amp;$C30&amp;"|"&amp;$D30)&gt;0,SUMIFS(Subgroup_Overrides!$F$11:$F$100,Subgroup_Overrides!$H$11:$H$100,"A|"&amp;$C30&amp;"|"&amp;$D30),"")</x:f>
      </x:c>
      <x:c r="K30" s="41" t="str">
        <x:f aca="0">IF(COUNTIF(Subgroup_Overrides!$H$11:$H$100,"B|"&amp;$C30&amp;"|"&amp;$D30)&gt;0,SUMIFS(Subgroup_Overrides!$F$11:$F$100,Subgroup_Overrides!$H$11:$H$100,"B|"&amp;$C30&amp;"|"&amp;$D30),"")</x:f>
      </x:c>
      <x:c r="L30" s="1" t="str">
        <x:f aca="0">TRIM(B30)</x:f>
        <x:v>NEED</x:v>
      </x:c>
      <x:c r="M30" s="1" t="str">
        <x:f aca="0">IF($H30="","",1*$H30)</x:f>
      </x:c>
      <x:c r="N30" s="1" t="str">
        <x:f aca="0">IF($I30="","",1*$I30)</x:f>
      </x:c>
      <x:c r="O30" s="42" t="str">
        <x:f aca="0">IF($M30="","",$B30&amp;"|"&amp;ROUND($M30*1000000000000,0))</x:f>
      </x:c>
      <x:c r="P30" s="42" t="str">
        <x:f aca="0">IF($N30="","",$B30&amp;"|"&amp;ROUND($N30*1000000000000,0))</x:f>
      </x:c>
    </x:row>
    <x:row r="31" ht="14.25" hidden="0" customHeight="1">
      <x:c r="A31" s="1" t="n">
        <x:v>30</x:v>
      </x:c>
      <x:c r="B31" s="1" t="s">
        <x:v>64</x:v>
      </x:c>
      <x:c r="C31" s="1" t="s">
        <x:v>430</x:v>
      </x:c>
      <x:c r="D31" s="1" t="s">
        <x:v>438</x:v>
      </x:c>
      <x:c r="E31" s="1" t="n">
        <x:v>-0.5</x:v>
      </x:c>
      <x:c r="F31" s="10">
        <x:f aca="0">INDEX(I_prop!$B$7:$H$13, MATCH($C31, I_prop!$A$7:$A$13,0), MATCH($D31, I_prop!$B$6:$H$6,0))</x:f>
        <x:v>-0.01979527432216163</x:v>
      </x:c>
      <x:c r="G31" s="10">
        <x:f aca="0">INDEX(I_prop!$B$18:$H$24, MATCH($C31, I_prop!$A$18:$A$24,0), MATCH($D31, I_prop!$B$17:$H$17,0))</x:f>
        <x:v>0.013197807340577457</x:v>
      </x:c>
      <x:c r="H31" s="10" t="n">
        <x:f aca="0">IF($J31&lt;&gt;"",$J31,IF($F31&lt;0,MAX(-1,Subgroup_Overrides!$B$7*$F31),$F31))</x:f>
        <x:v>-0.2</x:v>
      </x:c>
      <x:c r="I31" s="10">
        <x:f aca="0">IF($K31&lt;&gt;"",$K31,IF($G31&lt;0,MAX(-1,Subgroup_Overrides!$B$7*$G31),$G31))</x:f>
        <x:v>0.013197807340577457</x:v>
      </x:c>
      <x:c r="J31" s="41" t="n">
        <x:f aca="0">IF(COUNTIF(Subgroup_Overrides!$H$11:$H$100,"A|"&amp;$C31&amp;"|"&amp;$D31)&gt;0,SUMIFS(Subgroup_Overrides!$F$11:$F$100,Subgroup_Overrides!$H$11:$H$100,"A|"&amp;$C31&amp;"|"&amp;$D31),"")</x:f>
        <x:v>-0.2</x:v>
      </x:c>
      <x:c r="K31" s="41" t="str">
        <x:f aca="0">IF(COUNTIF(Subgroup_Overrides!$H$11:$H$100,"B|"&amp;$C31&amp;"|"&amp;$D31)&gt;0,SUMIFS(Subgroup_Overrides!$F$11:$F$100,Subgroup_Overrides!$H$11:$H$100,"B|"&amp;$C31&amp;"|"&amp;$D31),"")</x:f>
      </x:c>
      <x:c r="L31" s="1" t="str">
        <x:f aca="0">TRIM(B31)</x:f>
        <x:v>NEED</x:v>
      </x:c>
      <x:c r="M31" s="1" t="n">
        <x:f aca="0">IF($H31="","",1*$H31)</x:f>
        <x:v>-0.2</x:v>
      </x:c>
      <x:c r="N31" s="1">
        <x:f aca="0">IF($I31="","",1*$I31)</x:f>
        <x:v>0.013197807340577457</x:v>
      </x:c>
      <x:c r="O31" s="42" t="str">
        <x:f aca="0">IF($M31="","",$B31&amp;"|"&amp;ROUND($M31*1000000000000,0))</x:f>
        <x:v>NEED|-200000000000</x:v>
      </x:c>
      <x:c r="P31" s="42" t="str">
        <x:f aca="0">IF($N31="","",$B31&amp;"|"&amp;ROUND($N31*1000000000000,0))</x:f>
        <x:v>NEED|13197807341</x:v>
      </x:c>
    </x:row>
    <x:row r="32" ht="14.25" hidden="0" customHeight="1">
      <x:c r="A32" s="1" t="n">
        <x:v>31</x:v>
      </x:c>
      <x:c r="B32" s="1" t="s">
        <x:v>64</x:v>
      </x:c>
      <x:c r="C32" s="1" t="s">
        <x:v>430</x:v>
      </x:c>
      <x:c r="D32" s="1" t="s">
        <x:v>428</x:v>
      </x:c>
      <x:c r="E32" s="1" t="n">
        <x:v>-0.5</x:v>
      </x:c>
      <x:c r="F32" s="10" t="n">
        <x:f aca="0">INDEX(I_prop!$B$7:$H$13, MATCH($C32, I_prop!$A$7:$A$13,0), MATCH($D32, I_prop!$B$6:$H$6,0))</x:f>
        <x:v>0</x:v>
      </x:c>
      <x:c r="G32" s="10" t="n">
        <x:f aca="0">INDEX(I_prop!$B$18:$H$24, MATCH($C32, I_prop!$A$18:$A$24,0), MATCH($D32, I_prop!$B$17:$H$17,0))</x:f>
        <x:v>0</x:v>
      </x:c>
      <x:c r="H32" s="10" t="n">
        <x:f aca="0">IF($J32&lt;&gt;"",$J32,IF($F32&lt;0,MAX(-1,Subgroup_Overrides!$B$7*$F32),$F32))</x:f>
        <x:v>0</x:v>
      </x:c>
      <x:c r="I32" s="10" t="n">
        <x:f aca="0">IF($K32&lt;&gt;"",$K32,IF($G32&lt;0,MAX(-1,Subgroup_Overrides!$B$7*$G32),$G32))</x:f>
        <x:v>0</x:v>
      </x:c>
      <x:c r="J32" s="41" t="str">
        <x:f aca="0">IF(COUNTIF(Subgroup_Overrides!$H$11:$H$100,"A|"&amp;$C32&amp;"|"&amp;$D32)&gt;0,SUMIFS(Subgroup_Overrides!$F$11:$F$100,Subgroup_Overrides!$H$11:$H$100,"A|"&amp;$C32&amp;"|"&amp;$D32),"")</x:f>
      </x:c>
      <x:c r="K32" s="41" t="str">
        <x:f aca="0">IF(COUNTIF(Subgroup_Overrides!$H$11:$H$100,"B|"&amp;$C32&amp;"|"&amp;$D32)&gt;0,SUMIFS(Subgroup_Overrides!$F$11:$F$100,Subgroup_Overrides!$H$11:$H$100,"B|"&amp;$C32&amp;"|"&amp;$D32),"")</x:f>
      </x:c>
      <x:c r="L32" s="1" t="str">
        <x:f aca="0">TRIM(B32)</x:f>
        <x:v>NEED</x:v>
      </x:c>
      <x:c r="M32" s="1" t="str">
        <x:f aca="0">IF($H32="","",1*$H32)</x:f>
      </x:c>
      <x:c r="N32" s="1" t="str">
        <x:f aca="0">IF($I32="","",1*$I32)</x:f>
      </x:c>
      <x:c r="O32" s="42" t="str">
        <x:f aca="0">IF($M32="","",$B32&amp;"|"&amp;ROUND($M32*1000000000000,0))</x:f>
      </x:c>
      <x:c r="P32" s="42" t="str">
        <x:f aca="0">IF($N32="","",$B32&amp;"|"&amp;ROUND($N32*1000000000000,0))</x:f>
      </x:c>
    </x:row>
    <x:row r="33" ht="14.25" hidden="0" customHeight="1">
      <x:c r="A33" s="1" t="n">
        <x:v>32</x:v>
      </x:c>
      <x:c r="B33" s="1" t="s">
        <x:v>64</x:v>
      </x:c>
      <x:c r="C33" s="1" t="s">
        <x:v>431</x:v>
      </x:c>
      <x:c r="D33" s="1" t="s">
        <x:v>438</x:v>
      </x:c>
      <x:c r="E33" s="1" t="n">
        <x:v>-0.5</x:v>
      </x:c>
      <x:c r="F33" s="10">
        <x:f aca="0">INDEX(I_prop!$B$7:$H$13, MATCH($C33, I_prop!$A$7:$A$13,0), MATCH($D33, I_prop!$B$6:$H$6,0))</x:f>
        <x:v>-0.08556943629589667</x:v>
      </x:c>
      <x:c r="G33" s="10">
        <x:f aca="0">INDEX(I_prop!$B$18:$H$24, MATCH($C33, I_prop!$A$18:$A$24,0), MATCH($D33, I_prop!$B$17:$H$17,0))</x:f>
        <x:v>0.010211455619172161</x:v>
      </x:c>
      <x:c r="H33" s="10" t="n">
        <x:f aca="0">IF($J33&lt;&gt;"",$J33,IF($F33&lt;0,MAX(-1,Subgroup_Overrides!$B$7*$F33),$F33))</x:f>
        <x:v>-0.3</x:v>
      </x:c>
      <x:c r="I33" s="10">
        <x:f aca="0">IF($K33&lt;&gt;"",$K33,IF($G33&lt;0,MAX(-1,Subgroup_Overrides!$B$7*$G33),$G33))</x:f>
        <x:v>0.010211455619172161</x:v>
      </x:c>
      <x:c r="J33" s="41" t="n">
        <x:f aca="0">IF(COUNTIF(Subgroup_Overrides!$H$11:$H$100,"A|"&amp;$C33&amp;"|"&amp;$D33)&gt;0,SUMIFS(Subgroup_Overrides!$F$11:$F$100,Subgroup_Overrides!$H$11:$H$100,"A|"&amp;$C33&amp;"|"&amp;$D33),"")</x:f>
        <x:v>-0.3</x:v>
      </x:c>
      <x:c r="K33" s="41" t="str">
        <x:f aca="0">IF(COUNTIF(Subgroup_Overrides!$H$11:$H$100,"B|"&amp;$C33&amp;"|"&amp;$D33)&gt;0,SUMIFS(Subgroup_Overrides!$F$11:$F$100,Subgroup_Overrides!$H$11:$H$100,"B|"&amp;$C33&amp;"|"&amp;$D33),"")</x:f>
      </x:c>
      <x:c r="L33" s="1" t="str">
        <x:f aca="0">TRIM(B33)</x:f>
        <x:v>NEED</x:v>
      </x:c>
      <x:c r="M33" s="1" t="n">
        <x:f aca="0">IF($H33="","",1*$H33)</x:f>
        <x:v>-0.3</x:v>
      </x:c>
      <x:c r="N33" s="1">
        <x:f aca="0">IF($I33="","",1*$I33)</x:f>
        <x:v>0.010211455619172161</x:v>
      </x:c>
      <x:c r="O33" s="42" t="str">
        <x:f aca="0">IF($M33="","",$B33&amp;"|"&amp;ROUND($M33*1000000000000,0))</x:f>
        <x:v>NEED|-300000000000</x:v>
      </x:c>
      <x:c r="P33" s="42" t="str">
        <x:f aca="0">IF($N33="","",$B33&amp;"|"&amp;ROUND($N33*1000000000000,0))</x:f>
        <x:v>NEED|10211455619</x:v>
      </x:c>
    </x:row>
    <x:row r="34" ht="14.25" hidden="0" customHeight="1">
      <x:c r="A34" s="1" t="n">
        <x:v>33</x:v>
      </x:c>
      <x:c r="B34" s="1" t="s">
        <x:v>64</x:v>
      </x:c>
      <x:c r="C34" s="1" t="s">
        <x:v>431</x:v>
      </x:c>
      <x:c r="D34" s="1" t="s">
        <x:v>428</x:v>
      </x:c>
      <x:c r="E34" s="1" t="n">
        <x:v>-0.5</x:v>
      </x:c>
      <x:c r="F34" s="10" t="n">
        <x:f aca="0">INDEX(I_prop!$B$7:$H$13, MATCH($C34, I_prop!$A$7:$A$13,0), MATCH($D34, I_prop!$B$6:$H$6,0))</x:f>
        <x:v>0</x:v>
      </x:c>
      <x:c r="G34" s="10" t="n">
        <x:f aca="0">INDEX(I_prop!$B$18:$H$24, MATCH($C34, I_prop!$A$18:$A$24,0), MATCH($D34, I_prop!$B$17:$H$17,0))</x:f>
        <x:v>0</x:v>
      </x:c>
      <x:c r="H34" s="10" t="n">
        <x:f aca="0">IF($J34&lt;&gt;"",$J34,IF($F34&lt;0,MAX(-1,Subgroup_Overrides!$B$7*$F34),$F34))</x:f>
        <x:v>0</x:v>
      </x:c>
      <x:c r="I34" s="10" t="n">
        <x:f aca="0">IF($K34&lt;&gt;"",$K34,IF($G34&lt;0,MAX(-1,Subgroup_Overrides!$B$7*$G34),$G34))</x:f>
        <x:v>0</x:v>
      </x:c>
      <x:c r="J34" s="41" t="str">
        <x:f aca="0">IF(COUNTIF(Subgroup_Overrides!$H$11:$H$100,"A|"&amp;$C34&amp;"|"&amp;$D34)&gt;0,SUMIFS(Subgroup_Overrides!$F$11:$F$100,Subgroup_Overrides!$H$11:$H$100,"A|"&amp;$C34&amp;"|"&amp;$D34),"")</x:f>
      </x:c>
      <x:c r="K34" s="41" t="str">
        <x:f aca="0">IF(COUNTIF(Subgroup_Overrides!$H$11:$H$100,"B|"&amp;$C34&amp;"|"&amp;$D34)&gt;0,SUMIFS(Subgroup_Overrides!$F$11:$F$100,Subgroup_Overrides!$H$11:$H$100,"B|"&amp;$C34&amp;"|"&amp;$D34),"")</x:f>
      </x:c>
      <x:c r="L34" s="1" t="str">
        <x:f aca="0">TRIM(B34)</x:f>
        <x:v>NEED</x:v>
      </x:c>
      <x:c r="M34" s="1" t="str">
        <x:f aca="0">IF($H34="","",1*$H34)</x:f>
      </x:c>
      <x:c r="N34" s="1" t="str">
        <x:f aca="0">IF($I34="","",1*$I34)</x:f>
      </x:c>
      <x:c r="O34" s="42" t="str">
        <x:f aca="0">IF($M34="","",$B34&amp;"|"&amp;ROUND($M34*1000000000000,0))</x:f>
      </x:c>
      <x:c r="P34" s="42" t="str">
        <x:f aca="0">IF($N34="","",$B34&amp;"|"&amp;ROUND($N34*1000000000000,0))</x:f>
      </x:c>
    </x:row>
    <x:row r="35" ht="14.25" hidden="0" customHeight="1">
      <x:c r="A35" s="1" t="n">
        <x:v>34</x:v>
      </x:c>
      <x:c r="B35" s="1" t="s">
        <x:v>64</x:v>
      </x:c>
      <x:c r="C35" s="1" t="s">
        <x:v>432</x:v>
      </x:c>
      <x:c r="D35" s="1" t="s">
        <x:v>438</x:v>
      </x:c>
      <x:c r="E35" s="1" t="n">
        <x:v>-0.5</x:v>
      </x:c>
      <x:c r="F35" s="10" t="n">
        <x:f aca="0">INDEX(I_prop!$B$7:$H$13, MATCH($C35, I_prop!$A$7:$A$13,0), MATCH($D35, I_prop!$B$6:$H$6,0))</x:f>
        <x:v>0</x:v>
      </x:c>
      <x:c r="G35" s="10" t="n">
        <x:f aca="0">INDEX(I_prop!$B$18:$H$24, MATCH($C35, I_prop!$A$18:$A$24,0), MATCH($D35, I_prop!$B$17:$H$17,0))</x:f>
        <x:v>0</x:v>
      </x:c>
      <x:c r="H35" s="10" t="n">
        <x:f aca="0">IF($J35&lt;&gt;"",$J35,IF($F35&lt;0,MAX(-1,Subgroup_Overrides!$B$7*$F35),$F35))</x:f>
        <x:v>0</x:v>
      </x:c>
      <x:c r="I35" s="10" t="n">
        <x:f aca="0">IF($K35&lt;&gt;"",$K35,IF($G35&lt;0,MAX(-1,Subgroup_Overrides!$B$7*$G35),$G35))</x:f>
        <x:v>0</x:v>
      </x:c>
      <x:c r="J35" s="41" t="str">
        <x:f aca="0">IF(COUNTIF(Subgroup_Overrides!$H$11:$H$100,"A|"&amp;$C35&amp;"|"&amp;$D35)&gt;0,SUMIFS(Subgroup_Overrides!$F$11:$F$100,Subgroup_Overrides!$H$11:$H$100,"A|"&amp;$C35&amp;"|"&amp;$D35),"")</x:f>
      </x:c>
      <x:c r="K35" s="41" t="str">
        <x:f aca="0">IF(COUNTIF(Subgroup_Overrides!$H$11:$H$100,"B|"&amp;$C35&amp;"|"&amp;$D35)&gt;0,SUMIFS(Subgroup_Overrides!$F$11:$F$100,Subgroup_Overrides!$H$11:$H$100,"B|"&amp;$C35&amp;"|"&amp;$D35),"")</x:f>
      </x:c>
      <x:c r="L35" s="1" t="str">
        <x:f aca="0">TRIM(B35)</x:f>
        <x:v>NEED</x:v>
      </x:c>
      <x:c r="M35" s="1" t="str">
        <x:f aca="0">IF($H35="","",1*$H35)</x:f>
      </x:c>
      <x:c r="N35" s="1" t="str">
        <x:f aca="0">IF($I35="","",1*$I35)</x:f>
      </x:c>
      <x:c r="O35" s="42" t="str">
        <x:f aca="0">IF($M35="","",$B35&amp;"|"&amp;ROUND($M35*1000000000000,0))</x:f>
      </x:c>
      <x:c r="P35" s="42" t="str">
        <x:f aca="0">IF($N35="","",$B35&amp;"|"&amp;ROUND($N35*1000000000000,0))</x:f>
      </x:c>
    </x:row>
    <x:row r="36" ht="14.25" hidden="0" customHeight="1">
      <x:c r="A36" s="1" t="n">
        <x:v>35</x:v>
      </x:c>
      <x:c r="B36" s="1" t="s">
        <x:v>64</x:v>
      </x:c>
      <x:c r="C36" s="1" t="s">
        <x:v>432</x:v>
      </x:c>
      <x:c r="D36" s="1" t="s">
        <x:v>428</x:v>
      </x:c>
      <x:c r="E36" s="1" t="n">
        <x:v>-0.5</x:v>
      </x:c>
      <x:c r="F36" s="10" t="n">
        <x:f aca="0">INDEX(I_prop!$B$7:$H$13, MATCH($C36, I_prop!$A$7:$A$13,0), MATCH($D36, I_prop!$B$6:$H$6,0))</x:f>
        <x:v>0</x:v>
      </x:c>
      <x:c r="G36" s="10" t="n">
        <x:f aca="0">INDEX(I_prop!$B$18:$H$24, MATCH($C36, I_prop!$A$18:$A$24,0), MATCH($D36, I_prop!$B$17:$H$17,0))</x:f>
        <x:v>0</x:v>
      </x:c>
      <x:c r="H36" s="10" t="n">
        <x:f aca="0">IF($J36&lt;&gt;"",$J36,IF($F36&lt;0,MAX(-1,Subgroup_Overrides!$B$7*$F36),$F36))</x:f>
        <x:v>0</x:v>
      </x:c>
      <x:c r="I36" s="10" t="n">
        <x:f aca="0">IF($K36&lt;&gt;"",$K36,IF($G36&lt;0,MAX(-1,Subgroup_Overrides!$B$7*$G36),$G36))</x:f>
        <x:v>0</x:v>
      </x:c>
      <x:c r="J36" s="41" t="str">
        <x:f aca="0">IF(COUNTIF(Subgroup_Overrides!$H$11:$H$100,"A|"&amp;$C36&amp;"|"&amp;$D36)&gt;0,SUMIFS(Subgroup_Overrides!$F$11:$F$100,Subgroup_Overrides!$H$11:$H$100,"A|"&amp;$C36&amp;"|"&amp;$D36),"")</x:f>
      </x:c>
      <x:c r="K36" s="41" t="str">
        <x:f aca="0">IF(COUNTIF(Subgroup_Overrides!$H$11:$H$100,"B|"&amp;$C36&amp;"|"&amp;$D36)&gt;0,SUMIFS(Subgroup_Overrides!$F$11:$F$100,Subgroup_Overrides!$H$11:$H$100,"B|"&amp;$C36&amp;"|"&amp;$D36),"")</x:f>
      </x:c>
      <x:c r="L36" s="1" t="str">
        <x:f aca="0">TRIM(B36)</x:f>
        <x:v>NEED</x:v>
      </x:c>
      <x:c r="M36" s="1" t="str">
        <x:f aca="0">IF($H36="","",1*$H36)</x:f>
      </x:c>
      <x:c r="N36" s="1" t="str">
        <x:f aca="0">IF($I36="","",1*$I36)</x:f>
      </x:c>
      <x:c r="O36" s="42" t="str">
        <x:f aca="0">IF($M36="","",$B36&amp;"|"&amp;ROUND($M36*1000000000000,0))</x:f>
      </x:c>
      <x:c r="P36" s="42" t="str">
        <x:f aca="0">IF($N36="","",$B36&amp;"|"&amp;ROUND($N36*1000000000000,0))</x:f>
      </x:c>
    </x:row>
    <x:row r="37" ht="14.25" hidden="0" customHeight="1">
      <x:c r="A37" s="1" t="n">
        <x:v>36</x:v>
      </x:c>
      <x:c r="B37" s="1" t="s">
        <x:v>64</x:v>
      </x:c>
      <x:c r="C37" s="1" t="s">
        <x:v>433</x:v>
      </x:c>
      <x:c r="D37" s="1" t="s">
        <x:v>438</x:v>
      </x:c>
      <x:c r="E37" s="1" t="n">
        <x:v>-0.5</x:v>
      </x:c>
      <x:c r="F37" s="10" t="n">
        <x:f aca="0">INDEX(I_prop!$B$7:$H$13, MATCH($C37, I_prop!$A$7:$A$13,0), MATCH($D37, I_prop!$B$6:$H$6,0))</x:f>
        <x:v>0</x:v>
      </x:c>
      <x:c r="G37" s="10" t="n">
        <x:f aca="0">INDEX(I_prop!$B$18:$H$24, MATCH($C37, I_prop!$A$18:$A$24,0), MATCH($D37, I_prop!$B$17:$H$17,0))</x:f>
        <x:v>0</x:v>
      </x:c>
      <x:c r="H37" s="10" t="n">
        <x:f aca="0">IF($J37&lt;&gt;"",$J37,IF($F37&lt;0,MAX(-1,Subgroup_Overrides!$B$7*$F37),$F37))</x:f>
        <x:v>0</x:v>
      </x:c>
      <x:c r="I37" s="10" t="n">
        <x:f aca="0">IF($K37&lt;&gt;"",$K37,IF($G37&lt;0,MAX(-1,Subgroup_Overrides!$B$7*$G37),$G37))</x:f>
        <x:v>0</x:v>
      </x:c>
      <x:c r="J37" s="41" t="str">
        <x:f aca="0">IF(COUNTIF(Subgroup_Overrides!$H$11:$H$100,"A|"&amp;$C37&amp;"|"&amp;$D37)&gt;0,SUMIFS(Subgroup_Overrides!$F$11:$F$100,Subgroup_Overrides!$H$11:$H$100,"A|"&amp;$C37&amp;"|"&amp;$D37),"")</x:f>
      </x:c>
      <x:c r="K37" s="41" t="str">
        <x:f aca="0">IF(COUNTIF(Subgroup_Overrides!$H$11:$H$100,"B|"&amp;$C37&amp;"|"&amp;$D37)&gt;0,SUMIFS(Subgroup_Overrides!$F$11:$F$100,Subgroup_Overrides!$H$11:$H$100,"B|"&amp;$C37&amp;"|"&amp;$D37),"")</x:f>
      </x:c>
      <x:c r="L37" s="1" t="str">
        <x:f aca="0">TRIM(B37)</x:f>
        <x:v>NEED</x:v>
      </x:c>
      <x:c r="M37" s="1" t="str">
        <x:f aca="0">IF($H37="","",1*$H37)</x:f>
      </x:c>
      <x:c r="N37" s="1" t="str">
        <x:f aca="0">IF($I37="","",1*$I37)</x:f>
      </x:c>
      <x:c r="O37" s="42" t="str">
        <x:f aca="0">IF($M37="","",$B37&amp;"|"&amp;ROUND($M37*1000000000000,0))</x:f>
      </x:c>
      <x:c r="P37" s="42" t="str">
        <x:f aca="0">IF($N37="","",$B37&amp;"|"&amp;ROUND($N37*1000000000000,0))</x:f>
      </x:c>
    </x:row>
    <x:row r="38" ht="14.25" hidden="0" customHeight="1">
      <x:c r="A38" s="1" t="n">
        <x:v>37</x:v>
      </x:c>
      <x:c r="B38" s="1" t="s">
        <x:v>64</x:v>
      </x:c>
      <x:c r="C38" s="1" t="s">
        <x:v>433</x:v>
      </x:c>
      <x:c r="D38" s="1" t="s">
        <x:v>428</x:v>
      </x:c>
      <x:c r="E38" s="1" t="n">
        <x:v>-0.5</x:v>
      </x:c>
      <x:c r="F38" s="10" t="n">
        <x:f aca="0">INDEX(I_prop!$B$7:$H$13, MATCH($C38, I_prop!$A$7:$A$13,0), MATCH($D38, I_prop!$B$6:$H$6,0))</x:f>
        <x:v>0</x:v>
      </x:c>
      <x:c r="G38" s="10" t="n">
        <x:f aca="0">INDEX(I_prop!$B$18:$H$24, MATCH($C38, I_prop!$A$18:$A$24,0), MATCH($D38, I_prop!$B$17:$H$17,0))</x:f>
        <x:v>0</x:v>
      </x:c>
      <x:c r="H38" s="10" t="n">
        <x:f aca="0">IF($J38&lt;&gt;"",$J38,IF($F38&lt;0,MAX(-1,Subgroup_Overrides!$B$7*$F38),$F38))</x:f>
        <x:v>0</x:v>
      </x:c>
      <x:c r="I38" s="10" t="n">
        <x:f aca="0">IF($K38&lt;&gt;"",$K38,IF($G38&lt;0,MAX(-1,Subgroup_Overrides!$B$7*$G38),$G38))</x:f>
        <x:v>0</x:v>
      </x:c>
      <x:c r="J38" s="41" t="str">
        <x:f aca="0">IF(COUNTIF(Subgroup_Overrides!$H$11:$H$100,"A|"&amp;$C38&amp;"|"&amp;$D38)&gt;0,SUMIFS(Subgroup_Overrides!$F$11:$F$100,Subgroup_Overrides!$H$11:$H$100,"A|"&amp;$C38&amp;"|"&amp;$D38),"")</x:f>
      </x:c>
      <x:c r="K38" s="41" t="str">
        <x:f aca="0">IF(COUNTIF(Subgroup_Overrides!$H$11:$H$100,"B|"&amp;$C38&amp;"|"&amp;$D38)&gt;0,SUMIFS(Subgroup_Overrides!$F$11:$F$100,Subgroup_Overrides!$H$11:$H$100,"B|"&amp;$C38&amp;"|"&amp;$D38),"")</x:f>
      </x:c>
      <x:c r="L38" s="1" t="str">
        <x:f aca="0">TRIM(B38)</x:f>
        <x:v>NEED</x:v>
      </x:c>
      <x:c r="M38" s="1" t="str">
        <x:f aca="0">IF($H38="","",1*$H38)</x:f>
      </x:c>
      <x:c r="N38" s="1" t="str">
        <x:f aca="0">IF($I38="","",1*$I38)</x:f>
      </x:c>
      <x:c r="O38" s="42" t="str">
        <x:f aca="0">IF($M38="","",$B38&amp;"|"&amp;ROUND($M38*1000000000000,0))</x:f>
      </x:c>
      <x:c r="P38" s="42" t="str">
        <x:f aca="0">IF($N38="","",$B38&amp;"|"&amp;ROUND($N38*1000000000000,0))</x:f>
      </x:c>
    </x:row>
    <x:row r="39" ht="14.25" hidden="0" customHeight="1">
      <x:c r="A39" s="1" t="n">
        <x:v>38</x:v>
      </x:c>
      <x:c r="B39" s="1" t="s">
        <x:v>65</x:v>
      </x:c>
      <x:c r="C39" s="1" t="s">
        <x:v>427</x:v>
      </x:c>
      <x:c r="D39" s="1" t="s">
        <x:v>437</x:v>
      </x:c>
      <x:c r="E39" s="1" t="n">
        <x:v>-0.55</x:v>
      </x:c>
      <x:c r="F39" s="10" t="n">
        <x:f aca="0">INDEX(I_prop!$B$7:$H$13, MATCH($C39, I_prop!$A$7:$A$13,0), MATCH($D39, I_prop!$B$6:$H$6,0))</x:f>
        <x:v>0</x:v>
      </x:c>
      <x:c r="G39" s="10" t="n">
        <x:f aca="0">INDEX(I_prop!$B$18:$H$24, MATCH($C39, I_prop!$A$18:$A$24,0), MATCH($D39, I_prop!$B$17:$H$17,0))</x:f>
        <x:v>0</x:v>
      </x:c>
      <x:c r="H39" s="10" t="n">
        <x:f aca="0">IF($J39&lt;&gt;"",$J39,IF($F39&lt;0,MAX(-1,Subgroup_Overrides!$B$7*$F39),$F39))</x:f>
        <x:v>0</x:v>
      </x:c>
      <x:c r="I39" s="10" t="n">
        <x:f aca="0">IF($K39&lt;&gt;"",$K39,IF($G39&lt;0,MAX(-1,Subgroup_Overrides!$B$7*$G39),$G39))</x:f>
        <x:v>0</x:v>
      </x:c>
      <x:c r="J39" s="41" t="str">
        <x:f aca="0">IF(COUNTIF(Subgroup_Overrides!$H$11:$H$100,"A|"&amp;$C39&amp;"|"&amp;$D39)&gt;0,SUMIFS(Subgroup_Overrides!$F$11:$F$100,Subgroup_Overrides!$H$11:$H$100,"A|"&amp;$C39&amp;"|"&amp;$D39),"")</x:f>
      </x:c>
      <x:c r="K39" s="41" t="str">
        <x:f aca="0">IF(COUNTIF(Subgroup_Overrides!$H$11:$H$100,"B|"&amp;$C39&amp;"|"&amp;$D39)&gt;0,SUMIFS(Subgroup_Overrides!$F$11:$F$100,Subgroup_Overrides!$H$11:$H$100,"B|"&amp;$C39&amp;"|"&amp;$D39),"")</x:f>
      </x:c>
      <x:c r="L39" s="1" t="str">
        <x:f aca="0">TRIM(B39)</x:f>
        <x:v>DIGN</x:v>
      </x:c>
      <x:c r="M39" s="1" t="str">
        <x:f aca="0">IF($H39="","",1*$H39)</x:f>
      </x:c>
      <x:c r="N39" s="1" t="str">
        <x:f aca="0">IF($I39="","",1*$I39)</x:f>
      </x:c>
      <x:c r="O39" s="42" t="str">
        <x:f aca="0">IF($M39="","",$B39&amp;"|"&amp;ROUND($M39*1000000000000,0))</x:f>
      </x:c>
      <x:c r="P39" s="42" t="str">
        <x:f aca="0">IF($N39="","",$B39&amp;"|"&amp;ROUND($N39*1000000000000,0))</x:f>
      </x:c>
    </x:row>
    <x:row r="40" ht="14.25" hidden="0" customHeight="1">
      <x:c r="A40" s="1" t="n">
        <x:v>39</x:v>
      </x:c>
      <x:c r="B40" s="1" t="s">
        <x:v>65</x:v>
      </x:c>
      <x:c r="C40" s="1" t="s">
        <x:v>427</x:v>
      </x:c>
      <x:c r="D40" s="1" t="s">
        <x:v>436</x:v>
      </x:c>
      <x:c r="E40" s="1" t="n">
        <x:v>-0.55</x:v>
      </x:c>
      <x:c r="F40" s="10">
        <x:f aca="0">INDEX(I_prop!$B$7:$H$13, MATCH($C40, I_prop!$A$7:$A$13,0), MATCH($D40, I_prop!$B$6:$H$6,0))</x:f>
        <x:v>0.2490078843274226</x:v>
      </x:c>
      <x:c r="G40" s="10">
        <x:f aca="0">INDEX(I_prop!$B$18:$H$24, MATCH($C40, I_prop!$A$18:$A$24,0), MATCH($D40, I_prop!$B$17:$H$17,0))</x:f>
        <x:v>-0.046333567670633624</x:v>
      </x:c>
      <x:c r="H40" s="10">
        <x:f aca="0">IF($J40&lt;&gt;"",$J40,IF($F40&lt;0,MAX(-1,Subgroup_Overrides!$B$7*$F40),$F40))</x:f>
        <x:v>0.2490078843274226</x:v>
      </x:c>
      <x:c r="I40" s="10" t="n">
        <x:f aca="0">IF($K40&lt;&gt;"",$K40,IF($G40&lt;0,MAX(-1,Subgroup_Overrides!$B$7*$G40),$G40))</x:f>
        <x:v>-0.15</x:v>
      </x:c>
      <x:c r="J40" s="41" t="str">
        <x:f aca="0">IF(COUNTIF(Subgroup_Overrides!$H$11:$H$100,"A|"&amp;$C40&amp;"|"&amp;$D40)&gt;0,SUMIFS(Subgroup_Overrides!$F$11:$F$100,Subgroup_Overrides!$H$11:$H$100,"A|"&amp;$C40&amp;"|"&amp;$D40),"")</x:f>
      </x:c>
      <x:c r="K40" s="41" t="n">
        <x:f aca="0">IF(COUNTIF(Subgroup_Overrides!$H$11:$H$100,"B|"&amp;$C40&amp;"|"&amp;$D40)&gt;0,SUMIFS(Subgroup_Overrides!$F$11:$F$100,Subgroup_Overrides!$H$11:$H$100,"B|"&amp;$C40&amp;"|"&amp;$D40),"")</x:f>
        <x:v>-0.15</x:v>
      </x:c>
      <x:c r="L40" s="1" t="str">
        <x:f aca="0">TRIM(B40)</x:f>
        <x:v>DIGN</x:v>
      </x:c>
      <x:c r="M40" s="1">
        <x:f aca="0">IF($H40="","",1*$H40)</x:f>
        <x:v>0.2490078843274226</x:v>
      </x:c>
      <x:c r="N40" s="1" t="n">
        <x:f aca="0">IF($I40="","",1*$I40)</x:f>
        <x:v>-0.15</x:v>
      </x:c>
      <x:c r="O40" s="42" t="str">
        <x:f aca="0">IF($M40="","",$B40&amp;"|"&amp;ROUND($M40*1000000000000,0))</x:f>
        <x:v>DIGN|249007884327</x:v>
      </x:c>
      <x:c r="P40" s="42" t="str">
        <x:f aca="0">IF($N40="","",$B40&amp;"|"&amp;ROUND($N40*1000000000000,0))</x:f>
        <x:v>DIGN|-150000000000</x:v>
      </x:c>
    </x:row>
    <x:row r="41" ht="14.25" hidden="0" customHeight="1">
      <x:c r="A41" s="1" t="n">
        <x:v>40</x:v>
      </x:c>
      <x:c r="B41" s="1" t="s">
        <x:v>65</x:v>
      </x:c>
      <x:c r="C41" s="1" t="s">
        <x:v>429</x:v>
      </x:c>
      <x:c r="D41" s="1" t="s">
        <x:v>437</x:v>
      </x:c>
      <x:c r="E41" s="1" t="n">
        <x:v>-0.55</x:v>
      </x:c>
      <x:c r="F41" s="10" t="n">
        <x:f aca="0">INDEX(I_prop!$B$7:$H$13, MATCH($C41, I_prop!$A$7:$A$13,0), MATCH($D41, I_prop!$B$6:$H$6,0))</x:f>
        <x:v>0</x:v>
      </x:c>
      <x:c r="G41" s="10" t="n">
        <x:f aca="0">INDEX(I_prop!$B$18:$H$24, MATCH($C41, I_prop!$A$18:$A$24,0), MATCH($D41, I_prop!$B$17:$H$17,0))</x:f>
        <x:v>0</x:v>
      </x:c>
      <x:c r="H41" s="10" t="n">
        <x:f aca="0">IF($J41&lt;&gt;"",$J41,IF($F41&lt;0,MAX(-1,Subgroup_Overrides!$B$7*$F41),$F41))</x:f>
        <x:v>0</x:v>
      </x:c>
      <x:c r="I41" s="10" t="n">
        <x:f aca="0">IF($K41&lt;&gt;"",$K41,IF($G41&lt;0,MAX(-1,Subgroup_Overrides!$B$7*$G41),$G41))</x:f>
        <x:v>0</x:v>
      </x:c>
      <x:c r="J41" s="41" t="str">
        <x:f aca="0">IF(COUNTIF(Subgroup_Overrides!$H$11:$H$100,"A|"&amp;$C41&amp;"|"&amp;$D41)&gt;0,SUMIFS(Subgroup_Overrides!$F$11:$F$100,Subgroup_Overrides!$H$11:$H$100,"A|"&amp;$C41&amp;"|"&amp;$D41),"")</x:f>
      </x:c>
      <x:c r="K41" s="41" t="str">
        <x:f aca="0">IF(COUNTIF(Subgroup_Overrides!$H$11:$H$100,"B|"&amp;$C41&amp;"|"&amp;$D41)&gt;0,SUMIFS(Subgroup_Overrides!$F$11:$F$100,Subgroup_Overrides!$H$11:$H$100,"B|"&amp;$C41&amp;"|"&amp;$D41),"")</x:f>
      </x:c>
      <x:c r="L41" s="1" t="str">
        <x:f aca="0">TRIM(B41)</x:f>
        <x:v>DIGN</x:v>
      </x:c>
      <x:c r="M41" s="1" t="str">
        <x:f aca="0">IF($H41="","",1*$H41)</x:f>
      </x:c>
      <x:c r="N41" s="1" t="str">
        <x:f aca="0">IF($I41="","",1*$I41)</x:f>
      </x:c>
      <x:c r="O41" s="42" t="str">
        <x:f aca="0">IF($M41="","",$B41&amp;"|"&amp;ROUND($M41*1000000000000,0))</x:f>
      </x:c>
      <x:c r="P41" s="42" t="str">
        <x:f aca="0">IF($N41="","",$B41&amp;"|"&amp;ROUND($N41*1000000000000,0))</x:f>
      </x:c>
    </x:row>
    <x:row r="42" ht="14.25" hidden="0" customHeight="1">
      <x:c r="A42" s="1" t="n">
        <x:v>41</x:v>
      </x:c>
      <x:c r="B42" s="1" t="s">
        <x:v>65</x:v>
      </x:c>
      <x:c r="C42" s="1" t="s">
        <x:v>429</x:v>
      </x:c>
      <x:c r="D42" s="1" t="s">
        <x:v>436</x:v>
      </x:c>
      <x:c r="E42" s="1" t="n">
        <x:v>-0.55</x:v>
      </x:c>
      <x:c r="F42" s="10" t="n">
        <x:f aca="0">INDEX(I_prop!$B$7:$H$13, MATCH($C42, I_prop!$A$7:$A$13,0), MATCH($D42, I_prop!$B$6:$H$6,0))</x:f>
        <x:v>0</x:v>
      </x:c>
      <x:c r="G42" s="10" t="n">
        <x:f aca="0">INDEX(I_prop!$B$18:$H$24, MATCH($C42, I_prop!$A$18:$A$24,0), MATCH($D42, I_prop!$B$17:$H$17,0))</x:f>
        <x:v>0</x:v>
      </x:c>
      <x:c r="H42" s="10" t="n">
        <x:f aca="0">IF($J42&lt;&gt;"",$J42,IF($F42&lt;0,MAX(-1,Subgroup_Overrides!$B$7*$F42),$F42))</x:f>
        <x:v>0</x:v>
      </x:c>
      <x:c r="I42" s="10" t="n">
        <x:f aca="0">IF($K42&lt;&gt;"",$K42,IF($G42&lt;0,MAX(-1,Subgroup_Overrides!$B$7*$G42),$G42))</x:f>
        <x:v>0</x:v>
      </x:c>
      <x:c r="J42" s="41" t="str">
        <x:f aca="0">IF(COUNTIF(Subgroup_Overrides!$H$11:$H$100,"A|"&amp;$C42&amp;"|"&amp;$D42)&gt;0,SUMIFS(Subgroup_Overrides!$F$11:$F$100,Subgroup_Overrides!$H$11:$H$100,"A|"&amp;$C42&amp;"|"&amp;$D42),"")</x:f>
      </x:c>
      <x:c r="K42" s="41" t="str">
        <x:f aca="0">IF(COUNTIF(Subgroup_Overrides!$H$11:$H$100,"B|"&amp;$C42&amp;"|"&amp;$D42)&gt;0,SUMIFS(Subgroup_Overrides!$F$11:$F$100,Subgroup_Overrides!$H$11:$H$100,"B|"&amp;$C42&amp;"|"&amp;$D42),"")</x:f>
      </x:c>
      <x:c r="L42" s="1" t="str">
        <x:f aca="0">TRIM(B42)</x:f>
        <x:v>DIGN</x:v>
      </x:c>
      <x:c r="M42" s="1" t="str">
        <x:f aca="0">IF($H42="","",1*$H42)</x:f>
      </x:c>
      <x:c r="N42" s="1" t="str">
        <x:f aca="0">IF($I42="","",1*$I42)</x:f>
      </x:c>
      <x:c r="O42" s="42" t="str">
        <x:f aca="0">IF($M42="","",$B42&amp;"|"&amp;ROUND($M42*1000000000000,0))</x:f>
      </x:c>
      <x:c r="P42" s="42" t="str">
        <x:f aca="0">IF($N42="","",$B42&amp;"|"&amp;ROUND($N42*1000000000000,0))</x:f>
      </x:c>
    </x:row>
    <x:row r="43" ht="14.25" hidden="0" customHeight="1">
      <x:c r="A43" s="1" t="n">
        <x:v>42</x:v>
      </x:c>
      <x:c r="B43" s="1" t="s">
        <x:v>65</x:v>
      </x:c>
      <x:c r="C43" s="1" t="s">
        <x:v>430</x:v>
      </x:c>
      <x:c r="D43" s="1" t="s">
        <x:v>437</x:v>
      </x:c>
      <x:c r="E43" s="1" t="n">
        <x:v>-0.55</x:v>
      </x:c>
      <x:c r="F43" s="10">
        <x:f aca="0">INDEX(I_prop!$B$7:$H$13, MATCH($C43, I_prop!$A$7:$A$13,0), MATCH($D43, I_prop!$B$6:$H$6,0))</x:f>
        <x:v>-0.08072568681553846</x:v>
      </x:c>
      <x:c r="G43" s="10">
        <x:f aca="0">INDEX(I_prop!$B$18:$H$24, MATCH($C43, I_prop!$A$18:$A$24,0), MATCH($D43, I_prop!$B$17:$H$17,0))</x:f>
        <x:v>0.06151557221350915</x:v>
      </x:c>
      <x:c r="H43" s="10" t="n">
        <x:f aca="0">IF($J43&lt;&gt;"",$J43,IF($F43&lt;0,MAX(-1,Subgroup_Overrides!$B$7*$F43),$F43))</x:f>
        <x:v>-0.15</x:v>
      </x:c>
      <x:c r="I43" s="10">
        <x:f aca="0">IF($K43&lt;&gt;"",$K43,IF($G43&lt;0,MAX(-1,Subgroup_Overrides!$B$7*$G43),$G43))</x:f>
        <x:v>0.06151557221350915</x:v>
      </x:c>
      <x:c r="J43" s="41" t="n">
        <x:f aca="0">IF(COUNTIF(Subgroup_Overrides!$H$11:$H$100,"A|"&amp;$C43&amp;"|"&amp;$D43)&gt;0,SUMIFS(Subgroup_Overrides!$F$11:$F$100,Subgroup_Overrides!$H$11:$H$100,"A|"&amp;$C43&amp;"|"&amp;$D43),"")</x:f>
        <x:v>-0.15</x:v>
      </x:c>
      <x:c r="K43" s="41" t="str">
        <x:f aca="0">IF(COUNTIF(Subgroup_Overrides!$H$11:$H$100,"B|"&amp;$C43&amp;"|"&amp;$D43)&gt;0,SUMIFS(Subgroup_Overrides!$F$11:$F$100,Subgroup_Overrides!$H$11:$H$100,"B|"&amp;$C43&amp;"|"&amp;$D43),"")</x:f>
      </x:c>
      <x:c r="L43" s="1" t="str">
        <x:f aca="0">TRIM(B43)</x:f>
        <x:v>DIGN</x:v>
      </x:c>
      <x:c r="M43" s="1" t="n">
        <x:f aca="0">IF($H43="","",1*$H43)</x:f>
        <x:v>-0.15</x:v>
      </x:c>
      <x:c r="N43" s="1">
        <x:f aca="0">IF($I43="","",1*$I43)</x:f>
        <x:v>0.06151557221350915</x:v>
      </x:c>
      <x:c r="O43" s="42" t="str">
        <x:f aca="0">IF($M43="","",$B43&amp;"|"&amp;ROUND($M43*1000000000000,0))</x:f>
        <x:v>DIGN|-150000000000</x:v>
      </x:c>
      <x:c r="P43" s="42" t="str">
        <x:f aca="0">IF($N43="","",$B43&amp;"|"&amp;ROUND($N43*1000000000000,0))</x:f>
        <x:v>DIGN|61515572214</x:v>
      </x:c>
    </x:row>
    <x:row r="44" ht="14.25" hidden="0" customHeight="1">
      <x:c r="A44" s="1" t="n">
        <x:v>43</x:v>
      </x:c>
      <x:c r="B44" s="1" t="s">
        <x:v>65</x:v>
      </x:c>
      <x:c r="C44" s="1" t="s">
        <x:v>430</x:v>
      </x:c>
      <x:c r="D44" s="1" t="s">
        <x:v>436</x:v>
      </x:c>
      <x:c r="E44" s="1" t="n">
        <x:v>-0.55</x:v>
      </x:c>
      <x:c r="F44" s="10" t="n">
        <x:f aca="0">INDEX(I_prop!$B$7:$H$13, MATCH($C44, I_prop!$A$7:$A$13,0), MATCH($D44, I_prop!$B$6:$H$6,0))</x:f>
        <x:v>0</x:v>
      </x:c>
      <x:c r="G44" s="10" t="n">
        <x:f aca="0">INDEX(I_prop!$B$18:$H$24, MATCH($C44, I_prop!$A$18:$A$24,0), MATCH($D44, I_prop!$B$17:$H$17,0))</x:f>
        <x:v>0</x:v>
      </x:c>
      <x:c r="H44" s="10" t="n">
        <x:f aca="0">IF($J44&lt;&gt;"",$J44,IF($F44&lt;0,MAX(-1,Subgroup_Overrides!$B$7*$F44),$F44))</x:f>
        <x:v>0</x:v>
      </x:c>
      <x:c r="I44" s="10" t="n">
        <x:f aca="0">IF($K44&lt;&gt;"",$K44,IF($G44&lt;0,MAX(-1,Subgroup_Overrides!$B$7*$G44),$G44))</x:f>
        <x:v>0</x:v>
      </x:c>
      <x:c r="J44" s="41" t="str">
        <x:f aca="0">IF(COUNTIF(Subgroup_Overrides!$H$11:$H$100,"A|"&amp;$C44&amp;"|"&amp;$D44)&gt;0,SUMIFS(Subgroup_Overrides!$F$11:$F$100,Subgroup_Overrides!$H$11:$H$100,"A|"&amp;$C44&amp;"|"&amp;$D44),"")</x:f>
      </x:c>
      <x:c r="K44" s="41" t="str">
        <x:f aca="0">IF(COUNTIF(Subgroup_Overrides!$H$11:$H$100,"B|"&amp;$C44&amp;"|"&amp;$D44)&gt;0,SUMIFS(Subgroup_Overrides!$F$11:$F$100,Subgroup_Overrides!$H$11:$H$100,"B|"&amp;$C44&amp;"|"&amp;$D44),"")</x:f>
      </x:c>
      <x:c r="L44" s="1" t="str">
        <x:f aca="0">TRIM(B44)</x:f>
        <x:v>DIGN</x:v>
      </x:c>
      <x:c r="M44" s="1" t="str">
        <x:f aca="0">IF($H44="","",1*$H44)</x:f>
      </x:c>
      <x:c r="N44" s="1" t="str">
        <x:f aca="0">IF($I44="","",1*$I44)</x:f>
      </x:c>
      <x:c r="O44" s="42" t="str">
        <x:f aca="0">IF($M44="","",$B44&amp;"|"&amp;ROUND($M44*1000000000000,0))</x:f>
      </x:c>
      <x:c r="P44" s="42" t="str">
        <x:f aca="0">IF($N44="","",$B44&amp;"|"&amp;ROUND($N44*1000000000000,0))</x:f>
      </x:c>
    </x:row>
    <x:row r="45" ht="14.25" hidden="0" customHeight="1">
      <x:c r="A45" s="1" t="n">
        <x:v>44</x:v>
      </x:c>
      <x:c r="B45" s="1" t="s">
        <x:v>65</x:v>
      </x:c>
      <x:c r="C45" s="1" t="s">
        <x:v>431</x:v>
      </x:c>
      <x:c r="D45" s="1" t="s">
        <x:v>437</x:v>
      </x:c>
      <x:c r="E45" s="1" t="n">
        <x:v>-0.55</x:v>
      </x:c>
      <x:c r="F45" s="10" t="n">
        <x:f aca="0">INDEX(I_prop!$B$7:$H$13, MATCH($C45, I_prop!$A$7:$A$13,0), MATCH($D45, I_prop!$B$6:$H$6,0))</x:f>
        <x:v>0</x:v>
      </x:c>
      <x:c r="G45" s="10" t="n">
        <x:f aca="0">INDEX(I_prop!$B$18:$H$24, MATCH($C45, I_prop!$A$18:$A$24,0), MATCH($D45, I_prop!$B$17:$H$17,0))</x:f>
        <x:v>0</x:v>
      </x:c>
      <x:c r="H45" s="10" t="n">
        <x:f aca="0">IF($J45&lt;&gt;"",$J45,IF($F45&lt;0,MAX(-1,Subgroup_Overrides!$B$7*$F45),$F45))</x:f>
        <x:v>0</x:v>
      </x:c>
      <x:c r="I45" s="10" t="n">
        <x:f aca="0">IF($K45&lt;&gt;"",$K45,IF($G45&lt;0,MAX(-1,Subgroup_Overrides!$B$7*$G45),$G45))</x:f>
        <x:v>0</x:v>
      </x:c>
      <x:c r="J45" s="41" t="str">
        <x:f aca="0">IF(COUNTIF(Subgroup_Overrides!$H$11:$H$100,"A|"&amp;$C45&amp;"|"&amp;$D45)&gt;0,SUMIFS(Subgroup_Overrides!$F$11:$F$100,Subgroup_Overrides!$H$11:$H$100,"A|"&amp;$C45&amp;"|"&amp;$D45),"")</x:f>
      </x:c>
      <x:c r="K45" s="41" t="str">
        <x:f aca="0">IF(COUNTIF(Subgroup_Overrides!$H$11:$H$100,"B|"&amp;$C45&amp;"|"&amp;$D45)&gt;0,SUMIFS(Subgroup_Overrides!$F$11:$F$100,Subgroup_Overrides!$H$11:$H$100,"B|"&amp;$C45&amp;"|"&amp;$D45),"")</x:f>
      </x:c>
      <x:c r="L45" s="1" t="str">
        <x:f aca="0">TRIM(B45)</x:f>
        <x:v>DIGN</x:v>
      </x:c>
      <x:c r="M45" s="1" t="str">
        <x:f aca="0">IF($H45="","",1*$H45)</x:f>
      </x:c>
      <x:c r="N45" s="1" t="str">
        <x:f aca="0">IF($I45="","",1*$I45)</x:f>
      </x:c>
      <x:c r="O45" s="42" t="str">
        <x:f aca="0">IF($M45="","",$B45&amp;"|"&amp;ROUND($M45*1000000000000,0))</x:f>
      </x:c>
      <x:c r="P45" s="42" t="str">
        <x:f aca="0">IF($N45="","",$B45&amp;"|"&amp;ROUND($N45*1000000000000,0))</x:f>
      </x:c>
    </x:row>
    <x:row r="46" ht="14.25" hidden="0" customHeight="1">
      <x:c r="A46" s="1" t="n">
        <x:v>45</x:v>
      </x:c>
      <x:c r="B46" s="1" t="s">
        <x:v>65</x:v>
      </x:c>
      <x:c r="C46" s="1" t="s">
        <x:v>431</x:v>
      </x:c>
      <x:c r="D46" s="1" t="s">
        <x:v>436</x:v>
      </x:c>
      <x:c r="E46" s="1" t="n">
        <x:v>-0.55</x:v>
      </x:c>
      <x:c r="F46" s="10" t="n">
        <x:f aca="0">INDEX(I_prop!$B$7:$H$13, MATCH($C46, I_prop!$A$7:$A$13,0), MATCH($D46, I_prop!$B$6:$H$6,0))</x:f>
        <x:v>0</x:v>
      </x:c>
      <x:c r="G46" s="10" t="n">
        <x:f aca="0">INDEX(I_prop!$B$18:$H$24, MATCH($C46, I_prop!$A$18:$A$24,0), MATCH($D46, I_prop!$B$17:$H$17,0))</x:f>
        <x:v>0</x:v>
      </x:c>
      <x:c r="H46" s="10" t="n">
        <x:f aca="0">IF($J46&lt;&gt;"",$J46,IF($F46&lt;0,MAX(-1,Subgroup_Overrides!$B$7*$F46),$F46))</x:f>
        <x:v>0</x:v>
      </x:c>
      <x:c r="I46" s="10" t="n">
        <x:f aca="0">IF($K46&lt;&gt;"",$K46,IF($G46&lt;0,MAX(-1,Subgroup_Overrides!$B$7*$G46),$G46))</x:f>
        <x:v>0</x:v>
      </x:c>
      <x:c r="J46" s="41" t="str">
        <x:f aca="0">IF(COUNTIF(Subgroup_Overrides!$H$11:$H$100,"A|"&amp;$C46&amp;"|"&amp;$D46)&gt;0,SUMIFS(Subgroup_Overrides!$F$11:$F$100,Subgroup_Overrides!$H$11:$H$100,"A|"&amp;$C46&amp;"|"&amp;$D46),"")</x:f>
      </x:c>
      <x:c r="K46" s="41" t="str">
        <x:f aca="0">IF(COUNTIF(Subgroup_Overrides!$H$11:$H$100,"B|"&amp;$C46&amp;"|"&amp;$D46)&gt;0,SUMIFS(Subgroup_Overrides!$F$11:$F$100,Subgroup_Overrides!$H$11:$H$100,"B|"&amp;$C46&amp;"|"&amp;$D46),"")</x:f>
      </x:c>
      <x:c r="L46" s="1" t="str">
        <x:f aca="0">TRIM(B46)</x:f>
        <x:v>DIGN</x:v>
      </x:c>
      <x:c r="M46" s="1" t="str">
        <x:f aca="0">IF($H46="","",1*$H46)</x:f>
      </x:c>
      <x:c r="N46" s="1" t="str">
        <x:f aca="0">IF($I46="","",1*$I46)</x:f>
      </x:c>
      <x:c r="O46" s="42" t="str">
        <x:f aca="0">IF($M46="","",$B46&amp;"|"&amp;ROUND($M46*1000000000000,0))</x:f>
      </x:c>
      <x:c r="P46" s="42" t="str">
        <x:f aca="0">IF($N46="","",$B46&amp;"|"&amp;ROUND($N46*1000000000000,0))</x:f>
      </x:c>
    </x:row>
    <x:row r="47" ht="14.25" hidden="0" customHeight="1">
      <x:c r="A47" s="1" t="n">
        <x:v>46</x:v>
      </x:c>
      <x:c r="B47" s="1" t="s">
        <x:v>65</x:v>
      </x:c>
      <x:c r="C47" s="1" t="s">
        <x:v>432</x:v>
      </x:c>
      <x:c r="D47" s="1" t="s">
        <x:v>437</x:v>
      </x:c>
      <x:c r="E47" s="1" t="n">
        <x:v>-0.55</x:v>
      </x:c>
      <x:c r="F47" s="10" t="n">
        <x:f aca="0">INDEX(I_prop!$B$7:$H$13, MATCH($C47, I_prop!$A$7:$A$13,0), MATCH($D47, I_prop!$B$6:$H$6,0))</x:f>
        <x:v>0</x:v>
      </x:c>
      <x:c r="G47" s="10" t="n">
        <x:f aca="0">INDEX(I_prop!$B$18:$H$24, MATCH($C47, I_prop!$A$18:$A$24,0), MATCH($D47, I_prop!$B$17:$H$17,0))</x:f>
        <x:v>0</x:v>
      </x:c>
      <x:c r="H47" s="10" t="n">
        <x:f aca="0">IF($J47&lt;&gt;"",$J47,IF($F47&lt;0,MAX(-1,Subgroup_Overrides!$B$7*$F47),$F47))</x:f>
        <x:v>0</x:v>
      </x:c>
      <x:c r="I47" s="10" t="n">
        <x:f aca="0">IF($K47&lt;&gt;"",$K47,IF($G47&lt;0,MAX(-1,Subgroup_Overrides!$B$7*$G47),$G47))</x:f>
        <x:v>0</x:v>
      </x:c>
      <x:c r="J47" s="41" t="str">
        <x:f aca="0">IF(COUNTIF(Subgroup_Overrides!$H$11:$H$100,"A|"&amp;$C47&amp;"|"&amp;$D47)&gt;0,SUMIFS(Subgroup_Overrides!$F$11:$F$100,Subgroup_Overrides!$H$11:$H$100,"A|"&amp;$C47&amp;"|"&amp;$D47),"")</x:f>
      </x:c>
      <x:c r="K47" s="41" t="str">
        <x:f aca="0">IF(COUNTIF(Subgroup_Overrides!$H$11:$H$100,"B|"&amp;$C47&amp;"|"&amp;$D47)&gt;0,SUMIFS(Subgroup_Overrides!$F$11:$F$100,Subgroup_Overrides!$H$11:$H$100,"B|"&amp;$C47&amp;"|"&amp;$D47),"")</x:f>
      </x:c>
      <x:c r="L47" s="1" t="str">
        <x:f aca="0">TRIM(B47)</x:f>
        <x:v>DIGN</x:v>
      </x:c>
      <x:c r="M47" s="1" t="str">
        <x:f aca="0">IF($H47="","",1*$H47)</x:f>
      </x:c>
      <x:c r="N47" s="1" t="str">
        <x:f aca="0">IF($I47="","",1*$I47)</x:f>
      </x:c>
      <x:c r="O47" s="42" t="str">
        <x:f aca="0">IF($M47="","",$B47&amp;"|"&amp;ROUND($M47*1000000000000,0))</x:f>
      </x:c>
      <x:c r="P47" s="42" t="str">
        <x:f aca="0">IF($N47="","",$B47&amp;"|"&amp;ROUND($N47*1000000000000,0))</x:f>
      </x:c>
    </x:row>
    <x:row r="48" ht="14.25" hidden="0" customHeight="1">
      <x:c r="A48" s="1" t="n">
        <x:v>47</x:v>
      </x:c>
      <x:c r="B48" s="1" t="s">
        <x:v>65</x:v>
      </x:c>
      <x:c r="C48" s="1" t="s">
        <x:v>432</x:v>
      </x:c>
      <x:c r="D48" s="1" t="s">
        <x:v>436</x:v>
      </x:c>
      <x:c r="E48" s="1" t="n">
        <x:v>-0.55</x:v>
      </x:c>
      <x:c r="F48" s="10" t="n">
        <x:f aca="0">INDEX(I_prop!$B$7:$H$13, MATCH($C48, I_prop!$A$7:$A$13,0), MATCH($D48, I_prop!$B$6:$H$6,0))</x:f>
        <x:v>0</x:v>
      </x:c>
      <x:c r="G48" s="10" t="n">
        <x:f aca="0">INDEX(I_prop!$B$18:$H$24, MATCH($C48, I_prop!$A$18:$A$24,0), MATCH($D48, I_prop!$B$17:$H$17,0))</x:f>
        <x:v>0</x:v>
      </x:c>
      <x:c r="H48" s="10" t="n">
        <x:f aca="0">IF($J48&lt;&gt;"",$J48,IF($F48&lt;0,MAX(-1,Subgroup_Overrides!$B$7*$F48),$F48))</x:f>
        <x:v>0</x:v>
      </x:c>
      <x:c r="I48" s="10" t="n">
        <x:f aca="0">IF($K48&lt;&gt;"",$K48,IF($G48&lt;0,MAX(-1,Subgroup_Overrides!$B$7*$G48),$G48))</x:f>
        <x:v>0</x:v>
      </x:c>
      <x:c r="J48" s="41" t="str">
        <x:f aca="0">IF(COUNTIF(Subgroup_Overrides!$H$11:$H$100,"A|"&amp;$C48&amp;"|"&amp;$D48)&gt;0,SUMIFS(Subgroup_Overrides!$F$11:$F$100,Subgroup_Overrides!$H$11:$H$100,"A|"&amp;$C48&amp;"|"&amp;$D48),"")</x:f>
      </x:c>
      <x:c r="K48" s="41" t="str">
        <x:f aca="0">IF(COUNTIF(Subgroup_Overrides!$H$11:$H$100,"B|"&amp;$C48&amp;"|"&amp;$D48)&gt;0,SUMIFS(Subgroup_Overrides!$F$11:$F$100,Subgroup_Overrides!$H$11:$H$100,"B|"&amp;$C48&amp;"|"&amp;$D48),"")</x:f>
      </x:c>
      <x:c r="L48" s="1" t="str">
        <x:f aca="0">TRIM(B48)</x:f>
        <x:v>DIGN</x:v>
      </x:c>
      <x:c r="M48" s="1" t="str">
        <x:f aca="0">IF($H48="","",1*$H48)</x:f>
      </x:c>
      <x:c r="N48" s="1" t="str">
        <x:f aca="0">IF($I48="","",1*$I48)</x:f>
      </x:c>
      <x:c r="O48" s="42" t="str">
        <x:f aca="0">IF($M48="","",$B48&amp;"|"&amp;ROUND($M48*1000000000000,0))</x:f>
      </x:c>
      <x:c r="P48" s="42" t="str">
        <x:f aca="0">IF($N48="","",$B48&amp;"|"&amp;ROUND($N48*1000000000000,0))</x:f>
      </x:c>
    </x:row>
    <x:row r="49" ht="14.25" hidden="0" customHeight="1">
      <x:c r="A49" s="1" t="n">
        <x:v>48</x:v>
      </x:c>
      <x:c r="B49" s="1" t="s">
        <x:v>65</x:v>
      </x:c>
      <x:c r="C49" s="1" t="s">
        <x:v>433</x:v>
      </x:c>
      <x:c r="D49" s="1" t="s">
        <x:v>437</x:v>
      </x:c>
      <x:c r="E49" s="1" t="n">
        <x:v>-0.55</x:v>
      </x:c>
      <x:c r="F49" s="10" t="n">
        <x:f aca="0">INDEX(I_prop!$B$7:$H$13, MATCH($C49, I_prop!$A$7:$A$13,0), MATCH($D49, I_prop!$B$6:$H$6,0))</x:f>
        <x:v>0</x:v>
      </x:c>
      <x:c r="G49" s="10" t="n">
        <x:f aca="0">INDEX(I_prop!$B$18:$H$24, MATCH($C49, I_prop!$A$18:$A$24,0), MATCH($D49, I_prop!$B$17:$H$17,0))</x:f>
        <x:v>0</x:v>
      </x:c>
      <x:c r="H49" s="10" t="n">
        <x:f aca="0">IF($J49&lt;&gt;"",$J49,IF($F49&lt;0,MAX(-1,Subgroup_Overrides!$B$7*$F49),$F49))</x:f>
        <x:v>0</x:v>
      </x:c>
      <x:c r="I49" s="10" t="n">
        <x:f aca="0">IF($K49&lt;&gt;"",$K49,IF($G49&lt;0,MAX(-1,Subgroup_Overrides!$B$7*$G49),$G49))</x:f>
        <x:v>0</x:v>
      </x:c>
      <x:c r="J49" s="41" t="str">
        <x:f aca="0">IF(COUNTIF(Subgroup_Overrides!$H$11:$H$100,"A|"&amp;$C49&amp;"|"&amp;$D49)&gt;0,SUMIFS(Subgroup_Overrides!$F$11:$F$100,Subgroup_Overrides!$H$11:$H$100,"A|"&amp;$C49&amp;"|"&amp;$D49),"")</x:f>
      </x:c>
      <x:c r="K49" s="41" t="str">
        <x:f aca="0">IF(COUNTIF(Subgroup_Overrides!$H$11:$H$100,"B|"&amp;$C49&amp;"|"&amp;$D49)&gt;0,SUMIFS(Subgroup_Overrides!$F$11:$F$100,Subgroup_Overrides!$H$11:$H$100,"B|"&amp;$C49&amp;"|"&amp;$D49),"")</x:f>
      </x:c>
      <x:c r="L49" s="1" t="str">
        <x:f aca="0">TRIM(B49)</x:f>
        <x:v>DIGN</x:v>
      </x:c>
      <x:c r="M49" s="1" t="str">
        <x:f aca="0">IF($H49="","",1*$H49)</x:f>
      </x:c>
      <x:c r="N49" s="1" t="str">
        <x:f aca="0">IF($I49="","",1*$I49)</x:f>
      </x:c>
      <x:c r="O49" s="42" t="str">
        <x:f aca="0">IF($M49="","",$B49&amp;"|"&amp;ROUND($M49*1000000000000,0))</x:f>
      </x:c>
      <x:c r="P49" s="42" t="str">
        <x:f aca="0">IF($N49="","",$B49&amp;"|"&amp;ROUND($N49*1000000000000,0))</x:f>
      </x:c>
    </x:row>
    <x:row r="50" ht="14.25" hidden="0" customHeight="1">
      <x:c r="A50" s="1" t="n">
        <x:v>49</x:v>
      </x:c>
      <x:c r="B50" s="1" t="s">
        <x:v>65</x:v>
      </x:c>
      <x:c r="C50" s="1" t="s">
        <x:v>433</x:v>
      </x:c>
      <x:c r="D50" s="1" t="s">
        <x:v>436</x:v>
      </x:c>
      <x:c r="E50" s="1" t="n">
        <x:v>-0.55</x:v>
      </x:c>
      <x:c r="F50" s="10" t="n">
        <x:f aca="0">INDEX(I_prop!$B$7:$H$13, MATCH($C50, I_prop!$A$7:$A$13,0), MATCH($D50, I_prop!$B$6:$H$6,0))</x:f>
        <x:v>0</x:v>
      </x:c>
      <x:c r="G50" s="10" t="n">
        <x:f aca="0">INDEX(I_prop!$B$18:$H$24, MATCH($C50, I_prop!$A$18:$A$24,0), MATCH($D50, I_prop!$B$17:$H$17,0))</x:f>
        <x:v>0</x:v>
      </x:c>
      <x:c r="H50" s="10" t="n">
        <x:f aca="0">IF($J50&lt;&gt;"",$J50,IF($F50&lt;0,MAX(-1,Subgroup_Overrides!$B$7*$F50),$F50))</x:f>
        <x:v>0</x:v>
      </x:c>
      <x:c r="I50" s="10" t="n">
        <x:f aca="0">IF($K50&lt;&gt;"",$K50,IF($G50&lt;0,MAX(-1,Subgroup_Overrides!$B$7*$G50),$G50))</x:f>
        <x:v>0</x:v>
      </x:c>
      <x:c r="J50" s="41" t="str">
        <x:f aca="0">IF(COUNTIF(Subgroup_Overrides!$H$11:$H$100,"A|"&amp;$C50&amp;"|"&amp;$D50)&gt;0,SUMIFS(Subgroup_Overrides!$F$11:$F$100,Subgroup_Overrides!$H$11:$H$100,"A|"&amp;$C50&amp;"|"&amp;$D50),"")</x:f>
      </x:c>
      <x:c r="K50" s="41" t="str">
        <x:f aca="0">IF(COUNTIF(Subgroup_Overrides!$H$11:$H$100,"B|"&amp;$C50&amp;"|"&amp;$D50)&gt;0,SUMIFS(Subgroup_Overrides!$F$11:$F$100,Subgroup_Overrides!$H$11:$H$100,"B|"&amp;$C50&amp;"|"&amp;$D50),"")</x:f>
      </x:c>
      <x:c r="L50" s="1" t="str">
        <x:f aca="0">TRIM(B50)</x:f>
        <x:v>DIGN</x:v>
      </x:c>
      <x:c r="M50" s="1" t="str">
        <x:f aca="0">IF($H50="","",1*$H50)</x:f>
      </x:c>
      <x:c r="N50" s="1" t="str">
        <x:f aca="0">IF($I50="","",1*$I50)</x:f>
      </x:c>
      <x:c r="O50" s="42" t="str">
        <x:f aca="0">IF($M50="","",$B50&amp;"|"&amp;ROUND($M50*1000000000000,0))</x:f>
      </x:c>
      <x:c r="P50" s="42" t="str">
        <x:f aca="0">IF($N50="","",$B50&amp;"|"&amp;ROUND($N50*1000000000000,0))</x:f>
      </x:c>
    </x:row>
    <x:row r="51" ht="14.25" hidden="0" customHeight="1">
      <x:c r="A51" s="1" t="n">
        <x:v>50</x:v>
      </x:c>
      <x:c r="B51" s="1" t="s">
        <x:v>66</x:v>
      </x:c>
      <x:c r="C51" s="1" t="s">
        <x:v>431</x:v>
      </x:c>
      <x:c r="D51" s="1" t="s">
        <x:v>437</x:v>
      </x:c>
      <x:c r="E51" s="1" t="n">
        <x:v>-0.45</x:v>
      </x:c>
      <x:c r="F51" s="10" t="n">
        <x:f aca="0">INDEX(I_prop!$B$7:$H$13, MATCH($C51, I_prop!$A$7:$A$13,0), MATCH($D51, I_prop!$B$6:$H$6,0))</x:f>
        <x:v>0</x:v>
      </x:c>
      <x:c r="G51" s="10" t="n">
        <x:f aca="0">INDEX(I_prop!$B$18:$H$24, MATCH($C51, I_prop!$A$18:$A$24,0), MATCH($D51, I_prop!$B$17:$H$17,0))</x:f>
        <x:v>0</x:v>
      </x:c>
      <x:c r="H51" s="10" t="n">
        <x:f aca="0">IF($J51&lt;&gt;"",$J51,IF($F51&lt;0,MAX(-1,Subgroup_Overrides!$B$7*$F51),$F51))</x:f>
        <x:v>0</x:v>
      </x:c>
      <x:c r="I51" s="10" t="n">
        <x:f aca="0">IF($K51&lt;&gt;"",$K51,IF($G51&lt;0,MAX(-1,Subgroup_Overrides!$B$7*$G51),$G51))</x:f>
        <x:v>0</x:v>
      </x:c>
      <x:c r="J51" s="41" t="str">
        <x:f aca="0">IF(COUNTIF(Subgroup_Overrides!$H$11:$H$100,"A|"&amp;$C51&amp;"|"&amp;$D51)&gt;0,SUMIFS(Subgroup_Overrides!$F$11:$F$100,Subgroup_Overrides!$H$11:$H$100,"A|"&amp;$C51&amp;"|"&amp;$D51),"")</x:f>
      </x:c>
      <x:c r="K51" s="41" t="str">
        <x:f aca="0">IF(COUNTIF(Subgroup_Overrides!$H$11:$H$100,"B|"&amp;$C51&amp;"|"&amp;$D51)&gt;0,SUMIFS(Subgroup_Overrides!$F$11:$F$100,Subgroup_Overrides!$H$11:$H$100,"B|"&amp;$C51&amp;"|"&amp;$D51),"")</x:f>
      </x:c>
      <x:c r="L51" s="1" t="str">
        <x:f aca="0">TRIM(B51)</x:f>
        <x:v>PROC</x:v>
      </x:c>
      <x:c r="M51" s="1" t="str">
        <x:f aca="0">IF($H51="","",1*$H51)</x:f>
      </x:c>
      <x:c r="N51" s="1" t="str">
        <x:f aca="0">IF($I51="","",1*$I51)</x:f>
      </x:c>
      <x:c r="O51" s="42" t="str">
        <x:f aca="0">IF($M51="","",$B51&amp;"|"&amp;ROUND($M51*1000000000000,0))</x:f>
      </x:c>
      <x:c r="P51" s="42" t="str">
        <x:f aca="0">IF($N51="","",$B51&amp;"|"&amp;ROUND($N51*1000000000000,0))</x:f>
      </x:c>
    </x:row>
    <x:row r="52" ht="14.25" hidden="0" customHeight="1">
      <x:c r="A52" s="1" t="n">
        <x:v>51</x:v>
      </x:c>
      <x:c r="B52" s="1" t="s">
        <x:v>66</x:v>
      </x:c>
      <x:c r="C52" s="1" t="s">
        <x:v>431</x:v>
      </x:c>
      <x:c r="D52" s="1" t="s">
        <x:v>439</x:v>
      </x:c>
      <x:c r="E52" s="1" t="n">
        <x:v>-0.45</x:v>
      </x:c>
      <x:c r="F52" s="10" t="n">
        <x:f aca="0">INDEX(I_prop!$B$7:$H$13, MATCH($C52, I_prop!$A$7:$A$13,0), MATCH($D52, I_prop!$B$6:$H$6,0))</x:f>
        <x:v>0</x:v>
      </x:c>
      <x:c r="G52" s="10" t="n">
        <x:f aca="0">INDEX(I_prop!$B$18:$H$24, MATCH($C52, I_prop!$A$18:$A$24,0), MATCH($D52, I_prop!$B$17:$H$17,0))</x:f>
        <x:v>0</x:v>
      </x:c>
      <x:c r="H52" s="10" t="n">
        <x:f aca="0">IF($J52&lt;&gt;"",$J52,IF($F52&lt;0,MAX(-1,Subgroup_Overrides!$B$7*$F52),$F52))</x:f>
        <x:v>0</x:v>
      </x:c>
      <x:c r="I52" s="10" t="n">
        <x:f aca="0">IF($K52&lt;&gt;"",$K52,IF($G52&lt;0,MAX(-1,Subgroup_Overrides!$B$7*$G52),$G52))</x:f>
        <x:v>0</x:v>
      </x:c>
      <x:c r="J52" s="41" t="str">
        <x:f aca="0">IF(COUNTIF(Subgroup_Overrides!$H$11:$H$100,"A|"&amp;$C52&amp;"|"&amp;$D52)&gt;0,SUMIFS(Subgroup_Overrides!$F$11:$F$100,Subgroup_Overrides!$H$11:$H$100,"A|"&amp;$C52&amp;"|"&amp;$D52),"")</x:f>
      </x:c>
      <x:c r="K52" s="41" t="str">
        <x:f aca="0">IF(COUNTIF(Subgroup_Overrides!$H$11:$H$100,"B|"&amp;$C52&amp;"|"&amp;$D52)&gt;0,SUMIFS(Subgroup_Overrides!$F$11:$F$100,Subgroup_Overrides!$H$11:$H$100,"B|"&amp;$C52&amp;"|"&amp;$D52),"")</x:f>
      </x:c>
      <x:c r="L52" s="1" t="str">
        <x:f aca="0">TRIM(B52)</x:f>
        <x:v>PROC</x:v>
      </x:c>
      <x:c r="M52" s="1" t="str">
        <x:f aca="0">IF($H52="","",1*$H52)</x:f>
      </x:c>
      <x:c r="N52" s="1" t="str">
        <x:f aca="0">IF($I52="","",1*$I52)</x:f>
      </x:c>
      <x:c r="O52" s="42" t="str">
        <x:f aca="0">IF($M52="","",$B52&amp;"|"&amp;ROUND($M52*1000000000000,0))</x:f>
      </x:c>
      <x:c r="P52" s="42" t="str">
        <x:f aca="0">IF($N52="","",$B52&amp;"|"&amp;ROUND($N52*1000000000000,0))</x:f>
      </x:c>
    </x:row>
    <x:row r="53" ht="14.25" hidden="0" customHeight="1">
      <x:c r="A53" s="1" t="n">
        <x:v>52</x:v>
      </x:c>
      <x:c r="B53" s="1" t="s">
        <x:v>66</x:v>
      </x:c>
      <x:c r="C53" s="1" t="s">
        <x:v>431</x:v>
      </x:c>
      <x:c r="D53" s="1" t="s">
        <x:v>436</x:v>
      </x:c>
      <x:c r="E53" s="1" t="n">
        <x:v>-0.45</x:v>
      </x:c>
      <x:c r="F53" s="10" t="n">
        <x:f aca="0">INDEX(I_prop!$B$7:$H$13, MATCH($C53, I_prop!$A$7:$A$13,0), MATCH($D53, I_prop!$B$6:$H$6,0))</x:f>
        <x:v>0</x:v>
      </x:c>
      <x:c r="G53" s="10" t="n">
        <x:f aca="0">INDEX(I_prop!$B$18:$H$24, MATCH($C53, I_prop!$A$18:$A$24,0), MATCH($D53, I_prop!$B$17:$H$17,0))</x:f>
        <x:v>0</x:v>
      </x:c>
      <x:c r="H53" s="10" t="n">
        <x:f aca="0">IF($J53&lt;&gt;"",$J53,IF($F53&lt;0,MAX(-1,Subgroup_Overrides!$B$7*$F53),$F53))</x:f>
        <x:v>0</x:v>
      </x:c>
      <x:c r="I53" s="10" t="n">
        <x:f aca="0">IF($K53&lt;&gt;"",$K53,IF($G53&lt;0,MAX(-1,Subgroup_Overrides!$B$7*$G53),$G53))</x:f>
        <x:v>0</x:v>
      </x:c>
      <x:c r="J53" s="41" t="str">
        <x:f aca="0">IF(COUNTIF(Subgroup_Overrides!$H$11:$H$100,"A|"&amp;$C53&amp;"|"&amp;$D53)&gt;0,SUMIFS(Subgroup_Overrides!$F$11:$F$100,Subgroup_Overrides!$H$11:$H$100,"A|"&amp;$C53&amp;"|"&amp;$D53),"")</x:f>
      </x:c>
      <x:c r="K53" s="41" t="str">
        <x:f aca="0">IF(COUNTIF(Subgroup_Overrides!$H$11:$H$100,"B|"&amp;$C53&amp;"|"&amp;$D53)&gt;0,SUMIFS(Subgroup_Overrides!$F$11:$F$100,Subgroup_Overrides!$H$11:$H$100,"B|"&amp;$C53&amp;"|"&amp;$D53),"")</x:f>
      </x:c>
      <x:c r="L53" s="1" t="str">
        <x:f aca="0">TRIM(B53)</x:f>
        <x:v>PROC</x:v>
      </x:c>
      <x:c r="M53" s="1" t="str">
        <x:f aca="0">IF($H53="","",1*$H53)</x:f>
      </x:c>
      <x:c r="N53" s="1" t="str">
        <x:f aca="0">IF($I53="","",1*$I53)</x:f>
      </x:c>
      <x:c r="O53" s="42" t="str">
        <x:f aca="0">IF($M53="","",$B53&amp;"|"&amp;ROUND($M53*1000000000000,0))</x:f>
      </x:c>
      <x:c r="P53" s="42" t="str">
        <x:f aca="0">IF($N53="","",$B53&amp;"|"&amp;ROUND($N53*1000000000000,0))</x:f>
      </x:c>
    </x:row>
    <x:row r="54" ht="14.25" hidden="0" customHeight="1">
      <x:c r="A54" s="1" t="n">
        <x:v>53</x:v>
      </x:c>
      <x:c r="B54" s="1" t="s">
        <x:v>66</x:v>
      </x:c>
      <x:c r="C54" s="1" t="s">
        <x:v>432</x:v>
      </x:c>
      <x:c r="D54" s="1" t="s">
        <x:v>437</x:v>
      </x:c>
      <x:c r="E54" s="1" t="n">
        <x:v>-0.45</x:v>
      </x:c>
      <x:c r="F54" s="10" t="n">
        <x:f aca="0">INDEX(I_prop!$B$7:$H$13, MATCH($C54, I_prop!$A$7:$A$13,0), MATCH($D54, I_prop!$B$6:$H$6,0))</x:f>
        <x:v>0</x:v>
      </x:c>
      <x:c r="G54" s="10" t="n">
        <x:f aca="0">INDEX(I_prop!$B$18:$H$24, MATCH($C54, I_prop!$A$18:$A$24,0), MATCH($D54, I_prop!$B$17:$H$17,0))</x:f>
        <x:v>0</x:v>
      </x:c>
      <x:c r="H54" s="10" t="n">
        <x:f aca="0">IF($J54&lt;&gt;"",$J54,IF($F54&lt;0,MAX(-1,Subgroup_Overrides!$B$7*$F54),$F54))</x:f>
        <x:v>0</x:v>
      </x:c>
      <x:c r="I54" s="10" t="n">
        <x:f aca="0">IF($K54&lt;&gt;"",$K54,IF($G54&lt;0,MAX(-1,Subgroup_Overrides!$B$7*$G54),$G54))</x:f>
        <x:v>0</x:v>
      </x:c>
      <x:c r="J54" s="41" t="str">
        <x:f aca="0">IF(COUNTIF(Subgroup_Overrides!$H$11:$H$100,"A|"&amp;$C54&amp;"|"&amp;$D54)&gt;0,SUMIFS(Subgroup_Overrides!$F$11:$F$100,Subgroup_Overrides!$H$11:$H$100,"A|"&amp;$C54&amp;"|"&amp;$D54),"")</x:f>
      </x:c>
      <x:c r="K54" s="41" t="str">
        <x:f aca="0">IF(COUNTIF(Subgroup_Overrides!$H$11:$H$100,"B|"&amp;$C54&amp;"|"&amp;$D54)&gt;0,SUMIFS(Subgroup_Overrides!$F$11:$F$100,Subgroup_Overrides!$H$11:$H$100,"B|"&amp;$C54&amp;"|"&amp;$D54),"")</x:f>
      </x:c>
      <x:c r="L54" s="1" t="str">
        <x:f aca="0">TRIM(B54)</x:f>
        <x:v>PROC</x:v>
      </x:c>
      <x:c r="M54" s="1" t="str">
        <x:f aca="0">IF($H54="","",1*$H54)</x:f>
      </x:c>
      <x:c r="N54" s="1" t="str">
        <x:f aca="0">IF($I54="","",1*$I54)</x:f>
      </x:c>
      <x:c r="O54" s="42" t="str">
        <x:f aca="0">IF($M54="","",$B54&amp;"|"&amp;ROUND($M54*1000000000000,0))</x:f>
      </x:c>
      <x:c r="P54" s="42" t="str">
        <x:f aca="0">IF($N54="","",$B54&amp;"|"&amp;ROUND($N54*1000000000000,0))</x:f>
      </x:c>
    </x:row>
    <x:row r="55" ht="14.25" hidden="0" customHeight="1">
      <x:c r="A55" s="1" t="n">
        <x:v>54</x:v>
      </x:c>
      <x:c r="B55" s="1" t="s">
        <x:v>66</x:v>
      </x:c>
      <x:c r="C55" s="1" t="s">
        <x:v>432</x:v>
      </x:c>
      <x:c r="D55" s="1" t="s">
        <x:v>439</x:v>
      </x:c>
      <x:c r="E55" s="1" t="n">
        <x:v>-0.45</x:v>
      </x:c>
      <x:c r="F55" s="10" t="n">
        <x:f aca="0">INDEX(I_prop!$B$7:$H$13, MATCH($C55, I_prop!$A$7:$A$13,0), MATCH($D55, I_prop!$B$6:$H$6,0))</x:f>
        <x:v>0</x:v>
      </x:c>
      <x:c r="G55" s="10" t="n">
        <x:f aca="0">INDEX(I_prop!$B$18:$H$24, MATCH($C55, I_prop!$A$18:$A$24,0), MATCH($D55, I_prop!$B$17:$H$17,0))</x:f>
        <x:v>0</x:v>
      </x:c>
      <x:c r="H55" s="10" t="n">
        <x:f aca="0">IF($J55&lt;&gt;"",$J55,IF($F55&lt;0,MAX(-1,Subgroup_Overrides!$B$7*$F55),$F55))</x:f>
        <x:v>0</x:v>
      </x:c>
      <x:c r="I55" s="10" t="n">
        <x:f aca="0">IF($K55&lt;&gt;"",$K55,IF($G55&lt;0,MAX(-1,Subgroup_Overrides!$B$7*$G55),$G55))</x:f>
        <x:v>0</x:v>
      </x:c>
      <x:c r="J55" s="41" t="str">
        <x:f aca="0">IF(COUNTIF(Subgroup_Overrides!$H$11:$H$100,"A|"&amp;$C55&amp;"|"&amp;$D55)&gt;0,SUMIFS(Subgroup_Overrides!$F$11:$F$100,Subgroup_Overrides!$H$11:$H$100,"A|"&amp;$C55&amp;"|"&amp;$D55),"")</x:f>
      </x:c>
      <x:c r="K55" s="41" t="str">
        <x:f aca="0">IF(COUNTIF(Subgroup_Overrides!$H$11:$H$100,"B|"&amp;$C55&amp;"|"&amp;$D55)&gt;0,SUMIFS(Subgroup_Overrides!$F$11:$F$100,Subgroup_Overrides!$H$11:$H$100,"B|"&amp;$C55&amp;"|"&amp;$D55),"")</x:f>
      </x:c>
      <x:c r="L55" s="1" t="str">
        <x:f aca="0">TRIM(B55)</x:f>
        <x:v>PROC</x:v>
      </x:c>
      <x:c r="M55" s="1" t="str">
        <x:f aca="0">IF($H55="","",1*$H55)</x:f>
      </x:c>
      <x:c r="N55" s="1" t="str">
        <x:f aca="0">IF($I55="","",1*$I55)</x:f>
      </x:c>
      <x:c r="O55" s="42" t="str">
        <x:f aca="0">IF($M55="","",$B55&amp;"|"&amp;ROUND($M55*1000000000000,0))</x:f>
      </x:c>
      <x:c r="P55" s="42" t="str">
        <x:f aca="0">IF($N55="","",$B55&amp;"|"&amp;ROUND($N55*1000000000000,0))</x:f>
      </x:c>
    </x:row>
    <x:row r="56" ht="14.25" hidden="0" customHeight="1">
      <x:c r="A56" s="1" t="n">
        <x:v>55</x:v>
      </x:c>
      <x:c r="B56" s="1" t="s">
        <x:v>66</x:v>
      </x:c>
      <x:c r="C56" s="1" t="s">
        <x:v>432</x:v>
      </x:c>
      <x:c r="D56" s="1" t="s">
        <x:v>436</x:v>
      </x:c>
      <x:c r="E56" s="1" t="n">
        <x:v>-0.45</x:v>
      </x:c>
      <x:c r="F56" s="10" t="n">
        <x:f aca="0">INDEX(I_prop!$B$7:$H$13, MATCH($C56, I_prop!$A$7:$A$13,0), MATCH($D56, I_prop!$B$6:$H$6,0))</x:f>
        <x:v>0</x:v>
      </x:c>
      <x:c r="G56" s="10" t="n">
        <x:f aca="0">INDEX(I_prop!$B$18:$H$24, MATCH($C56, I_prop!$A$18:$A$24,0), MATCH($D56, I_prop!$B$17:$H$17,0))</x:f>
        <x:v>0</x:v>
      </x:c>
      <x:c r="H56" s="10" t="n">
        <x:f aca="0">IF($J56&lt;&gt;"",$J56,IF($F56&lt;0,MAX(-1,Subgroup_Overrides!$B$7*$F56),$F56))</x:f>
        <x:v>0</x:v>
      </x:c>
      <x:c r="I56" s="10" t="n">
        <x:f aca="0">IF($K56&lt;&gt;"",$K56,IF($G56&lt;0,MAX(-1,Subgroup_Overrides!$B$7*$G56),$G56))</x:f>
        <x:v>0</x:v>
      </x:c>
      <x:c r="J56" s="41" t="str">
        <x:f aca="0">IF(COUNTIF(Subgroup_Overrides!$H$11:$H$100,"A|"&amp;$C56&amp;"|"&amp;$D56)&gt;0,SUMIFS(Subgroup_Overrides!$F$11:$F$100,Subgroup_Overrides!$H$11:$H$100,"A|"&amp;$C56&amp;"|"&amp;$D56),"")</x:f>
      </x:c>
      <x:c r="K56" s="41" t="str">
        <x:f aca="0">IF(COUNTIF(Subgroup_Overrides!$H$11:$H$100,"B|"&amp;$C56&amp;"|"&amp;$D56)&gt;0,SUMIFS(Subgroup_Overrides!$F$11:$F$100,Subgroup_Overrides!$H$11:$H$100,"B|"&amp;$C56&amp;"|"&amp;$D56),"")</x:f>
      </x:c>
      <x:c r="L56" s="1" t="str">
        <x:f aca="0">TRIM(B56)</x:f>
        <x:v>PROC</x:v>
      </x:c>
      <x:c r="M56" s="1" t="str">
        <x:f aca="0">IF($H56="","",1*$H56)</x:f>
      </x:c>
      <x:c r="N56" s="1" t="str">
        <x:f aca="0">IF($I56="","",1*$I56)</x:f>
      </x:c>
      <x:c r="O56" s="42" t="str">
        <x:f aca="0">IF($M56="","",$B56&amp;"|"&amp;ROUND($M56*1000000000000,0))</x:f>
      </x:c>
      <x:c r="P56" s="42" t="str">
        <x:f aca="0">IF($N56="","",$B56&amp;"|"&amp;ROUND($N56*1000000000000,0))</x:f>
      </x:c>
    </x:row>
    <x:row r="57" ht="14.25" hidden="0" customHeight="1">
      <x:c r="A57" s="1" t="n">
        <x:v>56</x:v>
      </x:c>
      <x:c r="B57" s="1" t="s">
        <x:v>66</x:v>
      </x:c>
      <x:c r="C57" s="1" t="s">
        <x:v>433</x:v>
      </x:c>
      <x:c r="D57" s="1" t="s">
        <x:v>437</x:v>
      </x:c>
      <x:c r="E57" s="1" t="n">
        <x:v>-0.45</x:v>
      </x:c>
      <x:c r="F57" s="10" t="n">
        <x:f aca="0">INDEX(I_prop!$B$7:$H$13, MATCH($C57, I_prop!$A$7:$A$13,0), MATCH($D57, I_prop!$B$6:$H$6,0))</x:f>
        <x:v>0</x:v>
      </x:c>
      <x:c r="G57" s="10" t="n">
        <x:f aca="0">INDEX(I_prop!$B$18:$H$24, MATCH($C57, I_prop!$A$18:$A$24,0), MATCH($D57, I_prop!$B$17:$H$17,0))</x:f>
        <x:v>0</x:v>
      </x:c>
      <x:c r="H57" s="10" t="n">
        <x:f aca="0">IF($J57&lt;&gt;"",$J57,IF($F57&lt;0,MAX(-1,Subgroup_Overrides!$B$7*$F57),$F57))</x:f>
        <x:v>0</x:v>
      </x:c>
      <x:c r="I57" s="10" t="n">
        <x:f aca="0">IF($K57&lt;&gt;"",$K57,IF($G57&lt;0,MAX(-1,Subgroup_Overrides!$B$7*$G57),$G57))</x:f>
        <x:v>0</x:v>
      </x:c>
      <x:c r="J57" s="41" t="str">
        <x:f aca="0">IF(COUNTIF(Subgroup_Overrides!$H$11:$H$100,"A|"&amp;$C57&amp;"|"&amp;$D57)&gt;0,SUMIFS(Subgroup_Overrides!$F$11:$F$100,Subgroup_Overrides!$H$11:$H$100,"A|"&amp;$C57&amp;"|"&amp;$D57),"")</x:f>
      </x:c>
      <x:c r="K57" s="41" t="str">
        <x:f aca="0">IF(COUNTIF(Subgroup_Overrides!$H$11:$H$100,"B|"&amp;$C57&amp;"|"&amp;$D57)&gt;0,SUMIFS(Subgroup_Overrides!$F$11:$F$100,Subgroup_Overrides!$H$11:$H$100,"B|"&amp;$C57&amp;"|"&amp;$D57),"")</x:f>
      </x:c>
      <x:c r="L57" s="1" t="str">
        <x:f aca="0">TRIM(B57)</x:f>
        <x:v>PROC</x:v>
      </x:c>
      <x:c r="M57" s="1" t="str">
        <x:f aca="0">IF($H57="","",1*$H57)</x:f>
      </x:c>
      <x:c r="N57" s="1" t="str">
        <x:f aca="0">IF($I57="","",1*$I57)</x:f>
      </x:c>
      <x:c r="O57" s="42" t="str">
        <x:f aca="0">IF($M57="","",$B57&amp;"|"&amp;ROUND($M57*1000000000000,0))</x:f>
      </x:c>
      <x:c r="P57" s="42" t="str">
        <x:f aca="0">IF($N57="","",$B57&amp;"|"&amp;ROUND($N57*1000000000000,0))</x:f>
      </x:c>
    </x:row>
    <x:row r="58" ht="14.25" hidden="0" customHeight="1">
      <x:c r="A58" s="1" t="n">
        <x:v>57</x:v>
      </x:c>
      <x:c r="B58" s="1" t="s">
        <x:v>66</x:v>
      </x:c>
      <x:c r="C58" s="1" t="s">
        <x:v>433</x:v>
      </x:c>
      <x:c r="D58" s="1" t="s">
        <x:v>439</x:v>
      </x:c>
      <x:c r="E58" s="1" t="n">
        <x:v>-0.45</x:v>
      </x:c>
      <x:c r="F58" s="10" t="n">
        <x:f aca="0">INDEX(I_prop!$B$7:$H$13, MATCH($C58, I_prop!$A$7:$A$13,0), MATCH($D58, I_prop!$B$6:$H$6,0))</x:f>
        <x:v>0</x:v>
      </x:c>
      <x:c r="G58" s="10" t="n">
        <x:f aca="0">INDEX(I_prop!$B$18:$H$24, MATCH($C58, I_prop!$A$18:$A$24,0), MATCH($D58, I_prop!$B$17:$H$17,0))</x:f>
        <x:v>0</x:v>
      </x:c>
      <x:c r="H58" s="10" t="n">
        <x:f aca="0">IF($J58&lt;&gt;"",$J58,IF($F58&lt;0,MAX(-1,Subgroup_Overrides!$B$7*$F58),$F58))</x:f>
        <x:v>0</x:v>
      </x:c>
      <x:c r="I58" s="10" t="n">
        <x:f aca="0">IF($K58&lt;&gt;"",$K58,IF($G58&lt;0,MAX(-1,Subgroup_Overrides!$B$7*$G58),$G58))</x:f>
        <x:v>0</x:v>
      </x:c>
      <x:c r="J58" s="41" t="str">
        <x:f aca="0">IF(COUNTIF(Subgroup_Overrides!$H$11:$H$100,"A|"&amp;$C58&amp;"|"&amp;$D58)&gt;0,SUMIFS(Subgroup_Overrides!$F$11:$F$100,Subgroup_Overrides!$H$11:$H$100,"A|"&amp;$C58&amp;"|"&amp;$D58),"")</x:f>
      </x:c>
      <x:c r="K58" s="41" t="str">
        <x:f aca="0">IF(COUNTIF(Subgroup_Overrides!$H$11:$H$100,"B|"&amp;$C58&amp;"|"&amp;$D58)&gt;0,SUMIFS(Subgroup_Overrides!$F$11:$F$100,Subgroup_Overrides!$H$11:$H$100,"B|"&amp;$C58&amp;"|"&amp;$D58),"")</x:f>
      </x:c>
      <x:c r="L58" s="1" t="str">
        <x:f aca="0">TRIM(B58)</x:f>
        <x:v>PROC</x:v>
      </x:c>
      <x:c r="M58" s="1" t="str">
        <x:f aca="0">IF($H58="","",1*$H58)</x:f>
      </x:c>
      <x:c r="N58" s="1" t="str">
        <x:f aca="0">IF($I58="","",1*$I58)</x:f>
      </x:c>
      <x:c r="O58" s="42" t="str">
        <x:f aca="0">IF($M58="","",$B58&amp;"|"&amp;ROUND($M58*1000000000000,0))</x:f>
      </x:c>
      <x:c r="P58" s="42" t="str">
        <x:f aca="0">IF($N58="","",$B58&amp;"|"&amp;ROUND($N58*1000000000000,0))</x:f>
      </x:c>
    </x:row>
    <x:row r="59" ht="14.25" hidden="0" customHeight="1">
      <x:c r="A59" s="1" t="n">
        <x:v>58</x:v>
      </x:c>
      <x:c r="B59" s="1" t="s">
        <x:v>66</x:v>
      </x:c>
      <x:c r="C59" s="1" t="s">
        <x:v>433</x:v>
      </x:c>
      <x:c r="D59" s="1" t="s">
        <x:v>436</x:v>
      </x:c>
      <x:c r="E59" s="1" t="n">
        <x:v>-0.45</x:v>
      </x:c>
      <x:c r="F59" s="10" t="n">
        <x:f aca="0">INDEX(I_prop!$B$7:$H$13, MATCH($C59, I_prop!$A$7:$A$13,0), MATCH($D59, I_prop!$B$6:$H$6,0))</x:f>
        <x:v>0</x:v>
      </x:c>
      <x:c r="G59" s="10" t="n">
        <x:f aca="0">INDEX(I_prop!$B$18:$H$24, MATCH($C59, I_prop!$A$18:$A$24,0), MATCH($D59, I_prop!$B$17:$H$17,0))</x:f>
        <x:v>0</x:v>
      </x:c>
      <x:c r="H59" s="10" t="n">
        <x:f aca="0">IF($J59&lt;&gt;"",$J59,IF($F59&lt;0,MAX(-1,Subgroup_Overrides!$B$7*$F59),$F59))</x:f>
        <x:v>0</x:v>
      </x:c>
      <x:c r="I59" s="10" t="n">
        <x:f aca="0">IF($K59&lt;&gt;"",$K59,IF($G59&lt;0,MAX(-1,Subgroup_Overrides!$B$7*$G59),$G59))</x:f>
        <x:v>0</x:v>
      </x:c>
      <x:c r="J59" s="41" t="str">
        <x:f aca="0">IF(COUNTIF(Subgroup_Overrides!$H$11:$H$100,"A|"&amp;$C59&amp;"|"&amp;$D59)&gt;0,SUMIFS(Subgroup_Overrides!$F$11:$F$100,Subgroup_Overrides!$H$11:$H$100,"A|"&amp;$C59&amp;"|"&amp;$D59),"")</x:f>
      </x:c>
      <x:c r="K59" s="41" t="str">
        <x:f aca="0">IF(COUNTIF(Subgroup_Overrides!$H$11:$H$100,"B|"&amp;$C59&amp;"|"&amp;$D59)&gt;0,SUMIFS(Subgroup_Overrides!$F$11:$F$100,Subgroup_Overrides!$H$11:$H$100,"B|"&amp;$C59&amp;"|"&amp;$D59),"")</x:f>
      </x:c>
      <x:c r="L59" s="1" t="str">
        <x:f aca="0">TRIM(B59)</x:f>
        <x:v>PROC</x:v>
      </x:c>
      <x:c r="M59" s="1" t="str">
        <x:f aca="0">IF($H59="","",1*$H59)</x:f>
      </x:c>
      <x:c r="N59" s="1" t="str">
        <x:f aca="0">IF($I59="","",1*$I59)</x:f>
      </x:c>
      <x:c r="O59" s="42" t="str">
        <x:f aca="0">IF($M59="","",$B59&amp;"|"&amp;ROUND($M59*1000000000000,0))</x:f>
      </x:c>
      <x:c r="P59" s="42" t="str">
        <x:f aca="0">IF($N59="","",$B59&amp;"|"&amp;ROUND($N59*1000000000000,0))</x:f>
      </x:c>
    </x:row>
    <x:row r="60" ht="14.25" hidden="0" customHeight="1">
      <x:c r="A60" s="1" t="n">
        <x:v>59</x:v>
      </x:c>
      <x:c r="B60" s="1" t="s">
        <x:v>67</x:v>
      </x:c>
      <x:c r="C60" s="1" t="s">
        <x:v>427</x:v>
      </x:c>
      <x:c r="D60" s="1" t="s">
        <x:v>439</x:v>
      </x:c>
      <x:c r="E60" s="1" t="n">
        <x:v>-0.4</x:v>
      </x:c>
      <x:c r="F60" s="10" t="n">
        <x:f aca="0">INDEX(I_prop!$B$7:$H$13, MATCH($C60, I_prop!$A$7:$A$13,0), MATCH($D60, I_prop!$B$6:$H$6,0))</x:f>
        <x:v>0</x:v>
      </x:c>
      <x:c r="G60" s="10" t="n">
        <x:f aca="0">INDEX(I_prop!$B$18:$H$24, MATCH($C60, I_prop!$A$18:$A$24,0), MATCH($D60, I_prop!$B$17:$H$17,0))</x:f>
        <x:v>0</x:v>
      </x:c>
      <x:c r="H60" s="10" t="n">
        <x:f aca="0">IF($J60&lt;&gt;"",$J60,IF($F60&lt;0,MAX(-1,Subgroup_Overrides!$B$7*$F60),$F60))</x:f>
        <x:v>0</x:v>
      </x:c>
      <x:c r="I60" s="10" t="n">
        <x:f aca="0">IF($K60&lt;&gt;"",$K60,IF($G60&lt;0,MAX(-1,Subgroup_Overrides!$B$7*$G60),$G60))</x:f>
        <x:v>0</x:v>
      </x:c>
      <x:c r="J60" s="41" t="str">
        <x:f aca="0">IF(COUNTIF(Subgroup_Overrides!$H$11:$H$100,"A|"&amp;$C60&amp;"|"&amp;$D60)&gt;0,SUMIFS(Subgroup_Overrides!$F$11:$F$100,Subgroup_Overrides!$H$11:$H$100,"A|"&amp;$C60&amp;"|"&amp;$D60),"")</x:f>
      </x:c>
      <x:c r="K60" s="41" t="str">
        <x:f aca="0">IF(COUNTIF(Subgroup_Overrides!$H$11:$H$100,"B|"&amp;$C60&amp;"|"&amp;$D60)&gt;0,SUMIFS(Subgroup_Overrides!$F$11:$F$100,Subgroup_Overrides!$H$11:$H$100,"B|"&amp;$C60&amp;"|"&amp;$D60),"")</x:f>
      </x:c>
      <x:c r="L60" s="1" t="str">
        <x:f aca="0">TRIM(B60)</x:f>
        <x:v>INFO</x:v>
      </x:c>
      <x:c r="M60" s="1" t="str">
        <x:f aca="0">IF($H60="","",1*$H60)</x:f>
      </x:c>
      <x:c r="N60" s="1" t="str">
        <x:f aca="0">IF($I60="","",1*$I60)</x:f>
      </x:c>
      <x:c r="O60" s="42" t="str">
        <x:f aca="0">IF($M60="","",$B60&amp;"|"&amp;ROUND($M60*1000000000000,0))</x:f>
      </x:c>
      <x:c r="P60" s="42" t="str">
        <x:f aca="0">IF($N60="","",$B60&amp;"|"&amp;ROUND($N60*1000000000000,0))</x:f>
      </x:c>
    </x:row>
    <x:row r="61" ht="14.25" hidden="0" customHeight="1">
      <x:c r="A61" s="1" t="n">
        <x:v>60</x:v>
      </x:c>
      <x:c r="B61" s="1" t="s">
        <x:v>67</x:v>
      </x:c>
      <x:c r="C61" s="1" t="s">
        <x:v>427</x:v>
      </x:c>
      <x:c r="D61" s="1" t="s">
        <x:v>436</x:v>
      </x:c>
      <x:c r="E61" s="1" t="n">
        <x:v>-0.4</x:v>
      </x:c>
      <x:c r="F61" s="10">
        <x:f aca="0">INDEX(I_prop!$B$7:$H$13, MATCH($C61, I_prop!$A$7:$A$13,0), MATCH($D61, I_prop!$B$6:$H$6,0))</x:f>
        <x:v>0.2490078843274226</x:v>
      </x:c>
      <x:c r="G61" s="10">
        <x:f aca="0">INDEX(I_prop!$B$18:$H$24, MATCH($C61, I_prop!$A$18:$A$24,0), MATCH($D61, I_prop!$B$17:$H$17,0))</x:f>
        <x:v>-0.046333567670633624</x:v>
      </x:c>
      <x:c r="H61" s="10">
        <x:f aca="0">IF($J61&lt;&gt;"",$J61,IF($F61&lt;0,MAX(-1,Subgroup_Overrides!$B$7*$F61),$F61))</x:f>
        <x:v>0.2490078843274226</x:v>
      </x:c>
      <x:c r="I61" s="10" t="n">
        <x:f aca="0">IF($K61&lt;&gt;"",$K61,IF($G61&lt;0,MAX(-1,Subgroup_Overrides!$B$7*$G61),$G61))</x:f>
        <x:v>-0.15</x:v>
      </x:c>
      <x:c r="J61" s="41" t="str">
        <x:f aca="0">IF(COUNTIF(Subgroup_Overrides!$H$11:$H$100,"A|"&amp;$C61&amp;"|"&amp;$D61)&gt;0,SUMIFS(Subgroup_Overrides!$F$11:$F$100,Subgroup_Overrides!$H$11:$H$100,"A|"&amp;$C61&amp;"|"&amp;$D61),"")</x:f>
      </x:c>
      <x:c r="K61" s="41" t="n">
        <x:f aca="0">IF(COUNTIF(Subgroup_Overrides!$H$11:$H$100,"B|"&amp;$C61&amp;"|"&amp;$D61)&gt;0,SUMIFS(Subgroup_Overrides!$F$11:$F$100,Subgroup_Overrides!$H$11:$H$100,"B|"&amp;$C61&amp;"|"&amp;$D61),"")</x:f>
        <x:v>-0.15</x:v>
      </x:c>
      <x:c r="L61" s="1" t="str">
        <x:f aca="0">TRIM(B61)</x:f>
        <x:v>INFO</x:v>
      </x:c>
      <x:c r="M61" s="1">
        <x:f aca="0">IF($H61="","",1*$H61)</x:f>
        <x:v>0.2490078843274226</x:v>
      </x:c>
      <x:c r="N61" s="1" t="n">
        <x:f aca="0">IF($I61="","",1*$I61)</x:f>
        <x:v>-0.15</x:v>
      </x:c>
      <x:c r="O61" s="42" t="str">
        <x:f aca="0">IF($M61="","",$B61&amp;"|"&amp;ROUND($M61*1000000000000,0))</x:f>
        <x:v>INFO|249007884327</x:v>
      </x:c>
      <x:c r="P61" s="42" t="str">
        <x:f aca="0">IF($N61="","",$B61&amp;"|"&amp;ROUND($N61*1000000000000,0))</x:f>
        <x:v>INFO|-150000000000</x:v>
      </x:c>
    </x:row>
    <x:row r="62" ht="14.25" hidden="0" customHeight="1">
      <x:c r="A62" s="1" t="n">
        <x:v>61</x:v>
      </x:c>
      <x:c r="B62" s="1" t="s">
        <x:v>67</x:v>
      </x:c>
      <x:c r="C62" s="1" t="s">
        <x:v>429</x:v>
      </x:c>
      <x:c r="D62" s="1" t="s">
        <x:v>439</x:v>
      </x:c>
      <x:c r="E62" s="1" t="n">
        <x:v>-0.4</x:v>
      </x:c>
      <x:c r="F62" s="10" t="n">
        <x:f aca="0">INDEX(I_prop!$B$7:$H$13, MATCH($C62, I_prop!$A$7:$A$13,0), MATCH($D62, I_prop!$B$6:$H$6,0))</x:f>
        <x:v>0</x:v>
      </x:c>
      <x:c r="G62" s="10" t="n">
        <x:f aca="0">INDEX(I_prop!$B$18:$H$24, MATCH($C62, I_prop!$A$18:$A$24,0), MATCH($D62, I_prop!$B$17:$H$17,0))</x:f>
        <x:v>0</x:v>
      </x:c>
      <x:c r="H62" s="10" t="n">
        <x:f aca="0">IF($J62&lt;&gt;"",$J62,IF($F62&lt;0,MAX(-1,Subgroup_Overrides!$B$7*$F62),$F62))</x:f>
        <x:v>0</x:v>
      </x:c>
      <x:c r="I62" s="10" t="n">
        <x:f aca="0">IF($K62&lt;&gt;"",$K62,IF($G62&lt;0,MAX(-1,Subgroup_Overrides!$B$7*$G62),$G62))</x:f>
        <x:v>0</x:v>
      </x:c>
      <x:c r="J62" s="41" t="str">
        <x:f aca="0">IF(COUNTIF(Subgroup_Overrides!$H$11:$H$100,"A|"&amp;$C62&amp;"|"&amp;$D62)&gt;0,SUMIFS(Subgroup_Overrides!$F$11:$F$100,Subgroup_Overrides!$H$11:$H$100,"A|"&amp;$C62&amp;"|"&amp;$D62),"")</x:f>
      </x:c>
      <x:c r="K62" s="41" t="str">
        <x:f aca="0">IF(COUNTIF(Subgroup_Overrides!$H$11:$H$100,"B|"&amp;$C62&amp;"|"&amp;$D62)&gt;0,SUMIFS(Subgroup_Overrides!$F$11:$F$100,Subgroup_Overrides!$H$11:$H$100,"B|"&amp;$C62&amp;"|"&amp;$D62),"")</x:f>
      </x:c>
      <x:c r="L62" s="1" t="str">
        <x:f aca="0">TRIM(B62)</x:f>
        <x:v>INFO</x:v>
      </x:c>
      <x:c r="M62" s="1" t="str">
        <x:f aca="0">IF($H62="","",1*$H62)</x:f>
      </x:c>
      <x:c r="N62" s="1" t="str">
        <x:f aca="0">IF($I62="","",1*$I62)</x:f>
      </x:c>
      <x:c r="O62" s="42" t="str">
        <x:f aca="0">IF($M62="","",$B62&amp;"|"&amp;ROUND($M62*1000000000000,0))</x:f>
      </x:c>
      <x:c r="P62" s="42" t="str">
        <x:f aca="0">IF($N62="","",$B62&amp;"|"&amp;ROUND($N62*1000000000000,0))</x:f>
      </x:c>
    </x:row>
    <x:row r="63" ht="14.25" hidden="0" customHeight="1">
      <x:c r="A63" s="1" t="n">
        <x:v>62</x:v>
      </x:c>
      <x:c r="B63" s="1" t="s">
        <x:v>67</x:v>
      </x:c>
      <x:c r="C63" s="1" t="s">
        <x:v>429</x:v>
      </x:c>
      <x:c r="D63" s="1" t="s">
        <x:v>436</x:v>
      </x:c>
      <x:c r="E63" s="1" t="n">
        <x:v>-0.4</x:v>
      </x:c>
      <x:c r="F63" s="10" t="n">
        <x:f aca="0">INDEX(I_prop!$B$7:$H$13, MATCH($C63, I_prop!$A$7:$A$13,0), MATCH($D63, I_prop!$B$6:$H$6,0))</x:f>
        <x:v>0</x:v>
      </x:c>
      <x:c r="G63" s="10" t="n">
        <x:f aca="0">INDEX(I_prop!$B$18:$H$24, MATCH($C63, I_prop!$A$18:$A$24,0), MATCH($D63, I_prop!$B$17:$H$17,0))</x:f>
        <x:v>0</x:v>
      </x:c>
      <x:c r="H63" s="10" t="n">
        <x:f aca="0">IF($J63&lt;&gt;"",$J63,IF($F63&lt;0,MAX(-1,Subgroup_Overrides!$B$7*$F63),$F63))</x:f>
        <x:v>0</x:v>
      </x:c>
      <x:c r="I63" s="10" t="n">
        <x:f aca="0">IF($K63&lt;&gt;"",$K63,IF($G63&lt;0,MAX(-1,Subgroup_Overrides!$B$7*$G63),$G63))</x:f>
        <x:v>0</x:v>
      </x:c>
      <x:c r="J63" s="41" t="str">
        <x:f aca="0">IF(COUNTIF(Subgroup_Overrides!$H$11:$H$100,"A|"&amp;$C63&amp;"|"&amp;$D63)&gt;0,SUMIFS(Subgroup_Overrides!$F$11:$F$100,Subgroup_Overrides!$H$11:$H$100,"A|"&amp;$C63&amp;"|"&amp;$D63),"")</x:f>
      </x:c>
      <x:c r="K63" s="41" t="str">
        <x:f aca="0">IF(COUNTIF(Subgroup_Overrides!$H$11:$H$100,"B|"&amp;$C63&amp;"|"&amp;$D63)&gt;0,SUMIFS(Subgroup_Overrides!$F$11:$F$100,Subgroup_Overrides!$H$11:$H$100,"B|"&amp;$C63&amp;"|"&amp;$D63),"")</x:f>
      </x:c>
      <x:c r="L63" s="1" t="str">
        <x:f aca="0">TRIM(B63)</x:f>
        <x:v>INFO</x:v>
      </x:c>
      <x:c r="M63" s="1" t="str">
        <x:f aca="0">IF($H63="","",1*$H63)</x:f>
      </x:c>
      <x:c r="N63" s="1" t="str">
        <x:f aca="0">IF($I63="","",1*$I63)</x:f>
      </x:c>
      <x:c r="O63" s="42" t="str">
        <x:f aca="0">IF($M63="","",$B63&amp;"|"&amp;ROUND($M63*1000000000000,0))</x:f>
      </x:c>
      <x:c r="P63" s="42" t="str">
        <x:f aca="0">IF($N63="","",$B63&amp;"|"&amp;ROUND($N63*1000000000000,0))</x:f>
      </x:c>
    </x:row>
    <x:row r="64" ht="14.25" hidden="0" customHeight="1">
      <x:c r="A64" s="1" t="n">
        <x:v>63</x:v>
      </x:c>
      <x:c r="B64" s="1" t="s">
        <x:v>67</x:v>
      </x:c>
      <x:c r="C64" s="1" t="s">
        <x:v>430</x:v>
      </x:c>
      <x:c r="D64" s="1" t="s">
        <x:v>439</x:v>
      </x:c>
      <x:c r="E64" s="1" t="n">
        <x:v>-0.4</x:v>
      </x:c>
      <x:c r="F64" s="10" t="n">
        <x:f aca="0">INDEX(I_prop!$B$7:$H$13, MATCH($C64, I_prop!$A$7:$A$13,0), MATCH($D64, I_prop!$B$6:$H$6,0))</x:f>
        <x:v>0</x:v>
      </x:c>
      <x:c r="G64" s="10" t="n">
        <x:f aca="0">INDEX(I_prop!$B$18:$H$24, MATCH($C64, I_prop!$A$18:$A$24,0), MATCH($D64, I_prop!$B$17:$H$17,0))</x:f>
        <x:v>0</x:v>
      </x:c>
      <x:c r="H64" s="10" t="n">
        <x:f aca="0">IF($J64&lt;&gt;"",$J64,IF($F64&lt;0,MAX(-1,Subgroup_Overrides!$B$7*$F64),$F64))</x:f>
        <x:v>0</x:v>
      </x:c>
      <x:c r="I64" s="10" t="n">
        <x:f aca="0">IF($K64&lt;&gt;"",$K64,IF($G64&lt;0,MAX(-1,Subgroup_Overrides!$B$7*$G64),$G64))</x:f>
        <x:v>0</x:v>
      </x:c>
      <x:c r="J64" s="41" t="str">
        <x:f aca="0">IF(COUNTIF(Subgroup_Overrides!$H$11:$H$100,"A|"&amp;$C64&amp;"|"&amp;$D64)&gt;0,SUMIFS(Subgroup_Overrides!$F$11:$F$100,Subgroup_Overrides!$H$11:$H$100,"A|"&amp;$C64&amp;"|"&amp;$D64),"")</x:f>
      </x:c>
      <x:c r="K64" s="41" t="str">
        <x:f aca="0">IF(COUNTIF(Subgroup_Overrides!$H$11:$H$100,"B|"&amp;$C64&amp;"|"&amp;$D64)&gt;0,SUMIFS(Subgroup_Overrides!$F$11:$F$100,Subgroup_Overrides!$H$11:$H$100,"B|"&amp;$C64&amp;"|"&amp;$D64),"")</x:f>
      </x:c>
      <x:c r="L64" s="1" t="str">
        <x:f aca="0">TRIM(B64)</x:f>
        <x:v>INFO</x:v>
      </x:c>
      <x:c r="M64" s="1" t="str">
        <x:f aca="0">IF($H64="","",1*$H64)</x:f>
      </x:c>
      <x:c r="N64" s="1" t="str">
        <x:f aca="0">IF($I64="","",1*$I64)</x:f>
      </x:c>
      <x:c r="O64" s="42" t="str">
        <x:f aca="0">IF($M64="","",$B64&amp;"|"&amp;ROUND($M64*1000000000000,0))</x:f>
      </x:c>
      <x:c r="P64" s="42" t="str">
        <x:f aca="0">IF($N64="","",$B64&amp;"|"&amp;ROUND($N64*1000000000000,0))</x:f>
      </x:c>
    </x:row>
    <x:row r="65" ht="14.25" hidden="0" customHeight="1">
      <x:c r="A65" s="1" t="n">
        <x:v>64</x:v>
      </x:c>
      <x:c r="B65" s="1" t="s">
        <x:v>67</x:v>
      </x:c>
      <x:c r="C65" s="1" t="s">
        <x:v>430</x:v>
      </x:c>
      <x:c r="D65" s="1" t="s">
        <x:v>436</x:v>
      </x:c>
      <x:c r="E65" s="1" t="n">
        <x:v>-0.4</x:v>
      </x:c>
      <x:c r="F65" s="10" t="n">
        <x:f aca="0">INDEX(I_prop!$B$7:$H$13, MATCH($C65, I_prop!$A$7:$A$13,0), MATCH($D65, I_prop!$B$6:$H$6,0))</x:f>
        <x:v>0</x:v>
      </x:c>
      <x:c r="G65" s="10" t="n">
        <x:f aca="0">INDEX(I_prop!$B$18:$H$24, MATCH($C65, I_prop!$A$18:$A$24,0), MATCH($D65, I_prop!$B$17:$H$17,0))</x:f>
        <x:v>0</x:v>
      </x:c>
      <x:c r="H65" s="10" t="n">
        <x:f aca="0">IF($J65&lt;&gt;"",$J65,IF($F65&lt;0,MAX(-1,Subgroup_Overrides!$B$7*$F65),$F65))</x:f>
        <x:v>0</x:v>
      </x:c>
      <x:c r="I65" s="10" t="n">
        <x:f aca="0">IF($K65&lt;&gt;"",$K65,IF($G65&lt;0,MAX(-1,Subgroup_Overrides!$B$7*$G65),$G65))</x:f>
        <x:v>0</x:v>
      </x:c>
      <x:c r="J65" s="41" t="str">
        <x:f aca="0">IF(COUNTIF(Subgroup_Overrides!$H$11:$H$100,"A|"&amp;$C65&amp;"|"&amp;$D65)&gt;0,SUMIFS(Subgroup_Overrides!$F$11:$F$100,Subgroup_Overrides!$H$11:$H$100,"A|"&amp;$C65&amp;"|"&amp;$D65),"")</x:f>
      </x:c>
      <x:c r="K65" s="41" t="str">
        <x:f aca="0">IF(COUNTIF(Subgroup_Overrides!$H$11:$H$100,"B|"&amp;$C65&amp;"|"&amp;$D65)&gt;0,SUMIFS(Subgroup_Overrides!$F$11:$F$100,Subgroup_Overrides!$H$11:$H$100,"B|"&amp;$C65&amp;"|"&amp;$D65),"")</x:f>
      </x:c>
      <x:c r="L65" s="1" t="str">
        <x:f aca="0">TRIM(B65)</x:f>
        <x:v>INFO</x:v>
      </x:c>
      <x:c r="M65" s="1" t="str">
        <x:f aca="0">IF($H65="","",1*$H65)</x:f>
      </x:c>
      <x:c r="N65" s="1" t="str">
        <x:f aca="0">IF($I65="","",1*$I65)</x:f>
      </x:c>
      <x:c r="O65" s="42" t="str">
        <x:f aca="0">IF($M65="","",$B65&amp;"|"&amp;ROUND($M65*1000000000000,0))</x:f>
      </x:c>
      <x:c r="P65" s="42" t="str">
        <x:f aca="0">IF($N65="","",$B65&amp;"|"&amp;ROUND($N65*1000000000000,0))</x:f>
      </x:c>
    </x:row>
    <x:row r="66" ht="14.25" hidden="0" customHeight="1">
      <x:c r="A66" s="1" t="n">
        <x:v>65</x:v>
      </x:c>
      <x:c r="B66" s="1" t="s">
        <x:v>67</x:v>
      </x:c>
      <x:c r="C66" s="1" t="s">
        <x:v>431</x:v>
      </x:c>
      <x:c r="D66" s="1" t="s">
        <x:v>439</x:v>
      </x:c>
      <x:c r="E66" s="1" t="n">
        <x:v>-0.4</x:v>
      </x:c>
      <x:c r="F66" s="10" t="n">
        <x:f aca="0">INDEX(I_prop!$B$7:$H$13, MATCH($C66, I_prop!$A$7:$A$13,0), MATCH($D66, I_prop!$B$6:$H$6,0))</x:f>
        <x:v>0</x:v>
      </x:c>
      <x:c r="G66" s="10" t="n">
        <x:f aca="0">INDEX(I_prop!$B$18:$H$24, MATCH($C66, I_prop!$A$18:$A$24,0), MATCH($D66, I_prop!$B$17:$H$17,0))</x:f>
        <x:v>0</x:v>
      </x:c>
      <x:c r="H66" s="10" t="n">
        <x:f aca="0">IF($J66&lt;&gt;"",$J66,IF($F66&lt;0,MAX(-1,Subgroup_Overrides!$B$7*$F66),$F66))</x:f>
        <x:v>0</x:v>
      </x:c>
      <x:c r="I66" s="10" t="n">
        <x:f aca="0">IF($K66&lt;&gt;"",$K66,IF($G66&lt;0,MAX(-1,Subgroup_Overrides!$B$7*$G66),$G66))</x:f>
        <x:v>0</x:v>
      </x:c>
      <x:c r="J66" s="41" t="str">
        <x:f aca="0">IF(COUNTIF(Subgroup_Overrides!$H$11:$H$100,"A|"&amp;$C66&amp;"|"&amp;$D66)&gt;0,SUMIFS(Subgroup_Overrides!$F$11:$F$100,Subgroup_Overrides!$H$11:$H$100,"A|"&amp;$C66&amp;"|"&amp;$D66),"")</x:f>
      </x:c>
      <x:c r="K66" s="41" t="str">
        <x:f aca="0">IF(COUNTIF(Subgroup_Overrides!$H$11:$H$100,"B|"&amp;$C66&amp;"|"&amp;$D66)&gt;0,SUMIFS(Subgroup_Overrides!$F$11:$F$100,Subgroup_Overrides!$H$11:$H$100,"B|"&amp;$C66&amp;"|"&amp;$D66),"")</x:f>
      </x:c>
      <x:c r="L66" s="1" t="str">
        <x:f aca="0">TRIM(B66)</x:f>
        <x:v>INFO</x:v>
      </x:c>
      <x:c r="M66" s="1" t="str">
        <x:f aca="0">IF($H66="","",1*$H66)</x:f>
      </x:c>
      <x:c r="N66" s="1" t="str">
        <x:f aca="0">IF($I66="","",1*$I66)</x:f>
      </x:c>
      <x:c r="O66" s="42" t="str">
        <x:f aca="0">IF($M66="","",$B66&amp;"|"&amp;ROUND($M66*1000000000000,0))</x:f>
      </x:c>
      <x:c r="P66" s="42" t="str">
        <x:f aca="0">IF($N66="","",$B66&amp;"|"&amp;ROUND($N66*1000000000000,0))</x:f>
      </x:c>
    </x:row>
    <x:row r="67" ht="14.25" hidden="0" customHeight="1">
      <x:c r="A67" s="1" t="n">
        <x:v>66</x:v>
      </x:c>
      <x:c r="B67" s="1" t="s">
        <x:v>67</x:v>
      </x:c>
      <x:c r="C67" s="1" t="s">
        <x:v>431</x:v>
      </x:c>
      <x:c r="D67" s="1" t="s">
        <x:v>436</x:v>
      </x:c>
      <x:c r="E67" s="1" t="n">
        <x:v>-0.4</x:v>
      </x:c>
      <x:c r="F67" s="10" t="n">
        <x:f aca="0">INDEX(I_prop!$B$7:$H$13, MATCH($C67, I_prop!$A$7:$A$13,0), MATCH($D67, I_prop!$B$6:$H$6,0))</x:f>
        <x:v>0</x:v>
      </x:c>
      <x:c r="G67" s="10" t="n">
        <x:f aca="0">INDEX(I_prop!$B$18:$H$24, MATCH($C67, I_prop!$A$18:$A$24,0), MATCH($D67, I_prop!$B$17:$H$17,0))</x:f>
        <x:v>0</x:v>
      </x:c>
      <x:c r="H67" s="10" t="n">
        <x:f aca="0">IF($J67&lt;&gt;"",$J67,IF($F67&lt;0,MAX(-1,Subgroup_Overrides!$B$7*$F67),$F67))</x:f>
        <x:v>0</x:v>
      </x:c>
      <x:c r="I67" s="10" t="n">
        <x:f aca="0">IF($K67&lt;&gt;"",$K67,IF($G67&lt;0,MAX(-1,Subgroup_Overrides!$B$7*$G67),$G67))</x:f>
        <x:v>0</x:v>
      </x:c>
      <x:c r="J67" s="41" t="str">
        <x:f aca="0">IF(COUNTIF(Subgroup_Overrides!$H$11:$H$100,"A|"&amp;$C67&amp;"|"&amp;$D67)&gt;0,SUMIFS(Subgroup_Overrides!$F$11:$F$100,Subgroup_Overrides!$H$11:$H$100,"A|"&amp;$C67&amp;"|"&amp;$D67),"")</x:f>
      </x:c>
      <x:c r="K67" s="41" t="str">
        <x:f aca="0">IF(COUNTIF(Subgroup_Overrides!$H$11:$H$100,"B|"&amp;$C67&amp;"|"&amp;$D67)&gt;0,SUMIFS(Subgroup_Overrides!$F$11:$F$100,Subgroup_Overrides!$H$11:$H$100,"B|"&amp;$C67&amp;"|"&amp;$D67),"")</x:f>
      </x:c>
      <x:c r="L67" s="1" t="str">
        <x:f aca="0">TRIM(B67)</x:f>
        <x:v>INFO</x:v>
      </x:c>
      <x:c r="M67" s="1" t="str">
        <x:f aca="0">IF($H67="","",1*$H67)</x:f>
      </x:c>
      <x:c r="N67" s="1" t="str">
        <x:f aca="0">IF($I67="","",1*$I67)</x:f>
      </x:c>
      <x:c r="O67" s="42" t="str">
        <x:f aca="0">IF($M67="","",$B67&amp;"|"&amp;ROUND($M67*1000000000000,0))</x:f>
      </x:c>
      <x:c r="P67" s="42" t="str">
        <x:f aca="0">IF($N67="","",$B67&amp;"|"&amp;ROUND($N67*1000000000000,0))</x:f>
      </x:c>
    </x:row>
    <x:row r="68" ht="14.25" hidden="0" customHeight="1">
      <x:c r="A68" s="1" t="n">
        <x:v>67</x:v>
      </x:c>
      <x:c r="B68" s="1" t="s">
        <x:v>67</x:v>
      </x:c>
      <x:c r="C68" s="1" t="s">
        <x:v>432</x:v>
      </x:c>
      <x:c r="D68" s="1" t="s">
        <x:v>439</x:v>
      </x:c>
      <x:c r="E68" s="1" t="n">
        <x:v>-0.4</x:v>
      </x:c>
      <x:c r="F68" s="10" t="n">
        <x:f aca="0">INDEX(I_prop!$B$7:$H$13, MATCH($C68, I_prop!$A$7:$A$13,0), MATCH($D68, I_prop!$B$6:$H$6,0))</x:f>
        <x:v>0</x:v>
      </x:c>
      <x:c r="G68" s="10" t="n">
        <x:f aca="0">INDEX(I_prop!$B$18:$H$24, MATCH($C68, I_prop!$A$18:$A$24,0), MATCH($D68, I_prop!$B$17:$H$17,0))</x:f>
        <x:v>0</x:v>
      </x:c>
      <x:c r="H68" s="10" t="n">
        <x:f aca="0">IF($J68&lt;&gt;"",$J68,IF($F68&lt;0,MAX(-1,Subgroup_Overrides!$B$7*$F68),$F68))</x:f>
        <x:v>0</x:v>
      </x:c>
      <x:c r="I68" s="10" t="n">
        <x:f aca="0">IF($K68&lt;&gt;"",$K68,IF($G68&lt;0,MAX(-1,Subgroup_Overrides!$B$7*$G68),$G68))</x:f>
        <x:v>0</x:v>
      </x:c>
      <x:c r="J68" s="41" t="str">
        <x:f aca="0">IF(COUNTIF(Subgroup_Overrides!$H$11:$H$100,"A|"&amp;$C68&amp;"|"&amp;$D68)&gt;0,SUMIFS(Subgroup_Overrides!$F$11:$F$100,Subgroup_Overrides!$H$11:$H$100,"A|"&amp;$C68&amp;"|"&amp;$D68),"")</x:f>
      </x:c>
      <x:c r="K68" s="41" t="str">
        <x:f aca="0">IF(COUNTIF(Subgroup_Overrides!$H$11:$H$100,"B|"&amp;$C68&amp;"|"&amp;$D68)&gt;0,SUMIFS(Subgroup_Overrides!$F$11:$F$100,Subgroup_Overrides!$H$11:$H$100,"B|"&amp;$C68&amp;"|"&amp;$D68),"")</x:f>
      </x:c>
      <x:c r="L68" s="1" t="str">
        <x:f aca="0">TRIM(B68)</x:f>
        <x:v>INFO</x:v>
      </x:c>
      <x:c r="M68" s="1" t="str">
        <x:f aca="0">IF($H68="","",1*$H68)</x:f>
      </x:c>
      <x:c r="N68" s="1" t="str">
        <x:f aca="0">IF($I68="","",1*$I68)</x:f>
      </x:c>
      <x:c r="O68" s="42" t="str">
        <x:f aca="0">IF($M68="","",$B68&amp;"|"&amp;ROUND($M68*1000000000000,0))</x:f>
      </x:c>
      <x:c r="P68" s="42" t="str">
        <x:f aca="0">IF($N68="","",$B68&amp;"|"&amp;ROUND($N68*1000000000000,0))</x:f>
      </x:c>
    </x:row>
    <x:row r="69" ht="14.25" hidden="0" customHeight="1">
      <x:c r="A69" s="1" t="n">
        <x:v>68</x:v>
      </x:c>
      <x:c r="B69" s="1" t="s">
        <x:v>67</x:v>
      </x:c>
      <x:c r="C69" s="1" t="s">
        <x:v>432</x:v>
      </x:c>
      <x:c r="D69" s="1" t="s">
        <x:v>436</x:v>
      </x:c>
      <x:c r="E69" s="1" t="n">
        <x:v>-0.4</x:v>
      </x:c>
      <x:c r="F69" s="10" t="n">
        <x:f aca="0">INDEX(I_prop!$B$7:$H$13, MATCH($C69, I_prop!$A$7:$A$13,0), MATCH($D69, I_prop!$B$6:$H$6,0))</x:f>
        <x:v>0</x:v>
      </x:c>
      <x:c r="G69" s="10" t="n">
        <x:f aca="0">INDEX(I_prop!$B$18:$H$24, MATCH($C69, I_prop!$A$18:$A$24,0), MATCH($D69, I_prop!$B$17:$H$17,0))</x:f>
        <x:v>0</x:v>
      </x:c>
      <x:c r="H69" s="10" t="n">
        <x:f aca="0">IF($J69&lt;&gt;"",$J69,IF($F69&lt;0,MAX(-1,Subgroup_Overrides!$B$7*$F69),$F69))</x:f>
        <x:v>0</x:v>
      </x:c>
      <x:c r="I69" s="10" t="n">
        <x:f aca="0">IF($K69&lt;&gt;"",$K69,IF($G69&lt;0,MAX(-1,Subgroup_Overrides!$B$7*$G69),$G69))</x:f>
        <x:v>0</x:v>
      </x:c>
      <x:c r="J69" s="41" t="str">
        <x:f aca="0">IF(COUNTIF(Subgroup_Overrides!$H$11:$H$100,"A|"&amp;$C69&amp;"|"&amp;$D69)&gt;0,SUMIFS(Subgroup_Overrides!$F$11:$F$100,Subgroup_Overrides!$H$11:$H$100,"A|"&amp;$C69&amp;"|"&amp;$D69),"")</x:f>
      </x:c>
      <x:c r="K69" s="41" t="str">
        <x:f aca="0">IF(COUNTIF(Subgroup_Overrides!$H$11:$H$100,"B|"&amp;$C69&amp;"|"&amp;$D69)&gt;0,SUMIFS(Subgroup_Overrides!$F$11:$F$100,Subgroup_Overrides!$H$11:$H$100,"B|"&amp;$C69&amp;"|"&amp;$D69),"")</x:f>
      </x:c>
      <x:c r="L69" s="1" t="str">
        <x:f aca="0">TRIM(B69)</x:f>
        <x:v>INFO</x:v>
      </x:c>
      <x:c r="M69" s="1" t="str">
        <x:f aca="0">IF($H69="","",1*$H69)</x:f>
      </x:c>
      <x:c r="N69" s="1" t="str">
        <x:f aca="0">IF($I69="","",1*$I69)</x:f>
      </x:c>
      <x:c r="O69" s="42" t="str">
        <x:f aca="0">IF($M69="","",$B69&amp;"|"&amp;ROUND($M69*1000000000000,0))</x:f>
      </x:c>
      <x:c r="P69" s="42" t="str">
        <x:f aca="0">IF($N69="","",$B69&amp;"|"&amp;ROUND($N69*1000000000000,0))</x:f>
      </x:c>
    </x:row>
    <x:row r="70" ht="14.25" hidden="0" customHeight="1">
      <x:c r="A70" s="1" t="n">
        <x:v>69</x:v>
      </x:c>
      <x:c r="B70" s="1" t="s">
        <x:v>67</x:v>
      </x:c>
      <x:c r="C70" s="1" t="s">
        <x:v>433</x:v>
      </x:c>
      <x:c r="D70" s="1" t="s">
        <x:v>439</x:v>
      </x:c>
      <x:c r="E70" s="1" t="n">
        <x:v>-0.4</x:v>
      </x:c>
      <x:c r="F70" s="10" t="n">
        <x:f aca="0">INDEX(I_prop!$B$7:$H$13, MATCH($C70, I_prop!$A$7:$A$13,0), MATCH($D70, I_prop!$B$6:$H$6,0))</x:f>
        <x:v>0</x:v>
      </x:c>
      <x:c r="G70" s="10" t="n">
        <x:f aca="0">INDEX(I_prop!$B$18:$H$24, MATCH($C70, I_prop!$A$18:$A$24,0), MATCH($D70, I_prop!$B$17:$H$17,0))</x:f>
        <x:v>0</x:v>
      </x:c>
      <x:c r="H70" s="10" t="n">
        <x:f aca="0">IF($J70&lt;&gt;"",$J70,IF($F70&lt;0,MAX(-1,Subgroup_Overrides!$B$7*$F70),$F70))</x:f>
        <x:v>0</x:v>
      </x:c>
      <x:c r="I70" s="10" t="n">
        <x:f aca="0">IF($K70&lt;&gt;"",$K70,IF($G70&lt;0,MAX(-1,Subgroup_Overrides!$B$7*$G70),$G70))</x:f>
        <x:v>0</x:v>
      </x:c>
      <x:c r="J70" s="41" t="str">
        <x:f aca="0">IF(COUNTIF(Subgroup_Overrides!$H$11:$H$100,"A|"&amp;$C70&amp;"|"&amp;$D70)&gt;0,SUMIFS(Subgroup_Overrides!$F$11:$F$100,Subgroup_Overrides!$H$11:$H$100,"A|"&amp;$C70&amp;"|"&amp;$D70),"")</x:f>
      </x:c>
      <x:c r="K70" s="41" t="str">
        <x:f aca="0">IF(COUNTIF(Subgroup_Overrides!$H$11:$H$100,"B|"&amp;$C70&amp;"|"&amp;$D70)&gt;0,SUMIFS(Subgroup_Overrides!$F$11:$F$100,Subgroup_Overrides!$H$11:$H$100,"B|"&amp;$C70&amp;"|"&amp;$D70),"")</x:f>
      </x:c>
      <x:c r="L70" s="1" t="str">
        <x:f aca="0">TRIM(B70)</x:f>
        <x:v>INFO</x:v>
      </x:c>
      <x:c r="M70" s="1" t="str">
        <x:f aca="0">IF($H70="","",1*$H70)</x:f>
      </x:c>
      <x:c r="N70" s="1" t="str">
        <x:f aca="0">IF($I70="","",1*$I70)</x:f>
      </x:c>
      <x:c r="O70" s="42" t="str">
        <x:f aca="0">IF($M70="","",$B70&amp;"|"&amp;ROUND($M70*1000000000000,0))</x:f>
      </x:c>
      <x:c r="P70" s="42" t="str">
        <x:f aca="0">IF($N70="","",$B70&amp;"|"&amp;ROUND($N70*1000000000000,0))</x:f>
      </x:c>
    </x:row>
    <x:row r="71" ht="14.25" hidden="0" customHeight="1">
      <x:c r="A71" s="1" t="n">
        <x:v>70</x:v>
      </x:c>
      <x:c r="B71" s="1" t="s">
        <x:v>67</x:v>
      </x:c>
      <x:c r="C71" s="1" t="s">
        <x:v>433</x:v>
      </x:c>
      <x:c r="D71" s="1" t="s">
        <x:v>436</x:v>
      </x:c>
      <x:c r="E71" s="1" t="n">
        <x:v>-0.4</x:v>
      </x:c>
      <x:c r="F71" s="10" t="n">
        <x:f aca="0">INDEX(I_prop!$B$7:$H$13, MATCH($C71, I_prop!$A$7:$A$13,0), MATCH($D71, I_prop!$B$6:$H$6,0))</x:f>
        <x:v>0</x:v>
      </x:c>
      <x:c r="G71" s="10" t="n">
        <x:f aca="0">INDEX(I_prop!$B$18:$H$24, MATCH($C71, I_prop!$A$18:$A$24,0), MATCH($D71, I_prop!$B$17:$H$17,0))</x:f>
        <x:v>0</x:v>
      </x:c>
      <x:c r="H71" s="10" t="n">
        <x:f aca="0">IF($J71&lt;&gt;"",$J71,IF($F71&lt;0,MAX(-1,Subgroup_Overrides!$B$7*$F71),$F71))</x:f>
        <x:v>0</x:v>
      </x:c>
      <x:c r="I71" s="10" t="n">
        <x:f aca="0">IF($K71&lt;&gt;"",$K71,IF($G71&lt;0,MAX(-1,Subgroup_Overrides!$B$7*$G71),$G71))</x:f>
        <x:v>0</x:v>
      </x:c>
      <x:c r="J71" s="41" t="str">
        <x:f aca="0">IF(COUNTIF(Subgroup_Overrides!$H$11:$H$100,"A|"&amp;$C71&amp;"|"&amp;$D71)&gt;0,SUMIFS(Subgroup_Overrides!$F$11:$F$100,Subgroup_Overrides!$H$11:$H$100,"A|"&amp;$C71&amp;"|"&amp;$D71),"")</x:f>
      </x:c>
      <x:c r="K71" s="41" t="str">
        <x:f aca="0">IF(COUNTIF(Subgroup_Overrides!$H$11:$H$100,"B|"&amp;$C71&amp;"|"&amp;$D71)&gt;0,SUMIFS(Subgroup_Overrides!$F$11:$F$100,Subgroup_Overrides!$H$11:$H$100,"B|"&amp;$C71&amp;"|"&amp;$D71),"")</x:f>
      </x:c>
      <x:c r="L71" s="1" t="str">
        <x:f aca="0">TRIM(B71)</x:f>
        <x:v>INFO</x:v>
      </x:c>
      <x:c r="M71" s="1" t="str">
        <x:f aca="0">IF($H71="","",1*$H71)</x:f>
      </x:c>
      <x:c r="N71" s="1" t="str">
        <x:f aca="0">IF($I71="","",1*$I71)</x:f>
      </x:c>
      <x:c r="O71" s="42" t="str">
        <x:f aca="0">IF($M71="","",$B71&amp;"|"&amp;ROUND($M71*1000000000000,0))</x:f>
      </x:c>
      <x:c r="P71" s="42" t="str">
        <x:f aca="0">IF($N71="","",$B71&amp;"|"&amp;ROUND($N71*1000000000000,0))</x:f>
      </x:c>
    </x:row>
  </x:sheetData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sheetData>
    <x:row r="1" ht="14.25" hidden="0" customHeight="1">
      <x:c r="A1" s="26" t="s">
        <x:v>451</x:v>
      </x:c>
      <x:c r="B1" s="26"/>
      <x:c r="C1" s="26"/>
      <x:c r="D1" s="26"/>
      <x:c r="E1" s="26"/>
      <x:c r="F1" s="26"/>
      <x:c r="G1" s="26"/>
      <x:c r="H1" s="26"/>
    </x:row>
    <x:row r="2" ht="13.5" hidden="0" customHeight="1"/>
    <x:row r="3" ht="14.25" hidden="0" customHeight="1">
      <x:c r="A3" s="1" t="s">
        <x:v>452</x:v>
      </x:c>
    </x:row>
    <x:row r="4" ht="14.25" hidden="0" customHeight="1">
      <x:c r="A4" s="9" t="s">
        <x:v>453</x:v>
      </x:c>
    </x:row>
    <x:row r="5" ht="13.5" hidden="0" customHeight="1"/>
    <x:row r="6" ht="14.25" hidden="0" customHeight="1">
      <x:c r="A6" s="9" t="s">
        <x:v>454</x:v>
      </x:c>
      <x:c r="B6" s="9" t="s">
        <x:v>425</x:v>
      </x:c>
      <x:c r="C6" s="9" t="s">
        <x:v>426</x:v>
      </x:c>
      <x:c r="D6" s="9" t="s">
        <x:v>455</x:v>
      </x:c>
      <x:c r="E6" s="9" t="s">
        <x:v>456</x:v>
      </x:c>
    </x:row>
    <x:row r="7" ht="14.25" hidden="0" customHeight="1">
      <x:c r="A7" s="1" t="s">
        <x:v>457</x:v>
      </x:c>
      <x:c r="B7" s="1" t="s">
        <x:v>433</x:v>
      </x:c>
      <x:c r="C7" s="1" t="s">
        <x:v>458</x:v>
      </x:c>
      <x:c r="D7" s="1" t="n">
        <x:v>0.35</x:v>
      </x:c>
      <x:c r="E7" s="1" t="s">
        <x:v>459</x:v>
      </x:c>
    </x:row>
    <x:row r="8" ht="14.25" hidden="0" customHeight="1">
      <x:c r="A8" s="1" t="s">
        <x:v>460</x:v>
      </x:c>
      <x:c r="B8" s="1" t="s">
        <x:v>433</x:v>
      </x:c>
      <x:c r="C8" s="1" t="s">
        <x:v>461</x:v>
      </x:c>
      <x:c r="D8" s="1" t="n">
        <x:v>0.3</x:v>
      </x:c>
      <x:c r="E8" s="1" t="s">
        <x:v>462</x:v>
      </x:c>
    </x:row>
    <x:row r="9" ht="14.25" hidden="0" customHeight="1">
      <x:c r="A9" s="1" t="s">
        <x:v>463</x:v>
      </x:c>
      <x:c r="B9" s="1" t="s">
        <x:v>435</x:v>
      </x:c>
      <x:c r="C9" s="1" t="s">
        <x:v>461</x:v>
      </x:c>
      <x:c r="D9" s="1" t="n">
        <x:v>0.35</x:v>
      </x:c>
      <x:c r="E9" s="1" t="s">
        <x:v>464</x:v>
      </x:c>
    </x:row>
    <x:row r="10" ht="13.5" hidden="0" customHeight="1"/>
    <x:row r="11" ht="14.25" hidden="0" customHeight="1">
      <x:c r="A11" s="1" t="s">
        <x:v>465</x:v>
      </x:c>
      <x:c r="B11" s="1">
        <x:f aca="0">SUM(D7:D9)</x:f>
        <x:v>0.9999999999999999</x:v>
      </x:c>
      <x:c r="C11" s="1" t="s">
        <x:v>466</x:v>
      </x:c>
    </x:row>
    <x:row r="12" ht="13.5" hidden="0" customHeight="1"/>
    <x:row r="13" ht="14.25" hidden="0" customHeight="1">
      <x:c r="A13" s="9" t="s">
        <x:v>467</x:v>
      </x:c>
    </x:row>
    <x:row r="14" ht="14.25" hidden="0" customHeight="1">
      <x:c r="A14" s="1" t="s">
        <x:v>468</x:v>
      </x:c>
    </x:row>
    <x:row r="15" ht="14.25" hidden="0" customHeight="1">
      <x:c r="A15" s="1" t="s">
        <x:v>469</x:v>
      </x:c>
    </x:row>
    <x:row r="16" ht="14.25" hidden="0" customHeight="1">
      <x:c r="A16" s="1" t="s">
        <x:v>470</x:v>
      </x:c>
    </x:row>
    <x:row r="17" ht="14.25" hidden="0" customHeight="1">
      <x:c r="A17" s="1" t="s">
        <x:v>471</x:v>
      </x:c>
    </x:row>
    <x:row r="18" ht="13.5" hidden="0" customHeight="1"/>
    <x:row r="19" ht="14.25" hidden="0" customHeight="1">
      <x:c r="A19" s="1" t="s">
        <x:v>472</x:v>
      </x:c>
      <x:c r="B19" s="13" t="s">
        <x:v>473</x:v>
      </x:c>
    </x:row>
  </x:sheetData>
  <x:mergeCells>
    <x:mergeCell ref="A1:H1"/>
  </x:mergeCells>
  <x:pageMargins left="0.7" right="0.7" top="0.75" bottom="0.75" header="0.3" footer="0.3"/>
</x:worksheet>
</file>

<file path=xl/worksheets/sheet10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sheetData>
    <x:row r="1" ht="14.25" hidden="0" customHeight="1">
      <x:c r="A1" s="26" t="s">
        <x:v>474</x:v>
      </x:c>
      <x:c r="B1" s="26"/>
      <x:c r="C1" s="26"/>
      <x:c r="D1" s="26"/>
      <x:c r="E1" s="26"/>
      <x:c r="F1" s="26"/>
      <x:c r="G1" s="26"/>
      <x:c r="H1" s="26"/>
    </x:row>
    <x:row r="2" ht="13.5" hidden="0" customHeight="1"/>
    <x:row r="3" ht="14.25" hidden="0" customHeight="1">
      <x:c r="A3" s="1" t="s">
        <x:v>475</x:v>
      </x:c>
    </x:row>
    <x:row r="4" ht="14.25" hidden="0" customHeight="1">
      <x:c r="A4" s="1" t="s">
        <x:v>476</x:v>
      </x:c>
      <x:c r="D4" s="1" t="s">
        <x:v>477</x:v>
      </x:c>
    </x:row>
    <x:row r="5" ht="13.5" hidden="0" customHeight="1"/>
    <x:row r="6" ht="14.25" hidden="0" customHeight="1">
      <x:c r="A6" s="9" t="s">
        <x:v>478</x:v>
      </x:c>
      <x:c r="B6" s="9" t="s">
        <x:v>479</x:v>
      </x:c>
      <x:c r="C6" s="9" t="s">
        <x:v>480</x:v>
      </x:c>
      <x:c r="D6" s="9" t="s">
        <x:v>481</x:v>
      </x:c>
      <x:c r="E6" s="9" t="s">
        <x:v>343</x:v>
      </x:c>
      <x:c r="F6" s="9" t="s">
        <x:v>123</x:v>
      </x:c>
      <x:c r="G6" s="1" t="s">
        <x:v>74</x:v>
      </x:c>
    </x:row>
    <x:row r="7" ht="14.25" hidden="0" customHeight="1">
      <x:c r="A7" s="1" t="s">
        <x:v>75</x:v>
      </x:c>
      <x:c r="B7" s="1" t="s">
        <x:v>482</x:v>
      </x:c>
      <x:c r="C7" s="1" t="s">
        <x:v>483</x:v>
      </x:c>
      <x:c r="D7" s="1" t="n">
        <x:f aca="0">SUMIF(Scenario_Impacts!$B$11:$B$16,A7,Scenario_Impacts!$C$11:$C$16)</x:f>
        <x:v>0.08</x:v>
      </x:c>
      <x:c r="E7" s="1" t="n">
        <x:v>0.02</x:v>
      </x:c>
      <x:c r="F7" s="13" t="str">
        <x:f aca="0">IF(G7="NO","OPTIONAL",IF(D7&gt;=E7,"✓ COVERED","✗ MISSING"))</x:f>
        <x:v>✓ COVERED</x:v>
      </x:c>
      <x:c r="G7" s="1" t="str">
        <x:f aca="0">IF(A7="WTSL-AIX",IF(Config!$B$13="YES","YES","NO"),"YES")</x:f>
        <x:v>YES</x:v>
      </x:c>
    </x:row>
    <x:row r="8" ht="14.25" hidden="0" customHeight="1">
      <x:c r="A8" s="1" t="s">
        <x:v>77</x:v>
      </x:c>
      <x:c r="B8" s="1" t="s">
        <x:v>484</x:v>
      </x:c>
      <x:c r="C8" s="1" t="s">
        <x:v>485</x:v>
      </x:c>
      <x:c r="D8" s="1" t="n">
        <x:f aca="0">SUMIF(Scenario_Impacts!$B$11:$B$16,A8,Scenario_Impacts!$C$11:$C$16)</x:f>
        <x:v>0.07</x:v>
      </x:c>
      <x:c r="E8" s="1" t="n">
        <x:v>0.02</x:v>
      </x:c>
      <x:c r="F8" s="13" t="str">
        <x:f aca="0">IF(G8="NO","OPTIONAL",IF(D8&gt;=E8,"✓ COVERED","✗ MISSING"))</x:f>
        <x:v>✓ COVERED</x:v>
      </x:c>
      <x:c r="G8" s="1" t="str">
        <x:f aca="0">IF(A8="WTSL-AIX",IF(Config!$B$13="YES","YES","NO"),"YES")</x:f>
        <x:v>YES</x:v>
      </x:c>
    </x:row>
    <x:row r="9" ht="14.25" hidden="0" customHeight="1">
      <x:c r="A9" s="1" t="s">
        <x:v>78</x:v>
      </x:c>
      <x:c r="B9" s="1" t="s">
        <x:v>486</x:v>
      </x:c>
      <x:c r="C9" s="1" t="s">
        <x:v>487</x:v>
      </x:c>
      <x:c r="D9" s="1" t="n">
        <x:f aca="0">SUMIF(Scenario_Impacts!$B$11:$B$16,A9,Scenario_Impacts!$C$11:$C$16)</x:f>
        <x:v>0.15</x:v>
      </x:c>
      <x:c r="E9" s="1" t="n">
        <x:v>0.02</x:v>
      </x:c>
      <x:c r="F9" s="13" t="str">
        <x:f aca="0">IF(G9="NO","OPTIONAL",IF(D9&gt;=E9,"✓ COVERED","✗ MISSING"))</x:f>
        <x:v>✓ COVERED</x:v>
      </x:c>
      <x:c r="G9" s="1" t="str">
        <x:f aca="0">IF(A9="WTSL-AIX",IF(Config!$B$13="YES","YES","NO"),"YES")</x:f>
        <x:v>YES</x:v>
      </x:c>
    </x:row>
    <x:row r="10" ht="14.25" hidden="0" customHeight="1">
      <x:c r="A10" s="1" t="s">
        <x:v>79</x:v>
      </x:c>
      <x:c r="B10" s="1" t="s">
        <x:v>488</x:v>
      </x:c>
      <x:c r="C10" s="1" t="s">
        <x:v>489</x:v>
      </x:c>
      <x:c r="D10" s="1" t="n">
        <x:f aca="0">SUMIF(Scenario_Impacts!$B$11:$B$16,A10,Scenario_Impacts!$C$11:$C$16)</x:f>
        <x:v>0.03</x:v>
      </x:c>
      <x:c r="E10" s="1" t="n">
        <x:v>0.02</x:v>
      </x:c>
      <x:c r="F10" s="13" t="str">
        <x:f aca="0">IF(G10="NO","OPTIONAL",IF(D10&gt;=E10,"✓ COVERED","✗ MISSING"))</x:f>
        <x:v>✓ COVERED</x:v>
      </x:c>
      <x:c r="G10" s="1" t="str">
        <x:f aca="0">IF(A10="WTSL-AIX",IF(Config!$B$13="YES","YES","NO"),"YES")</x:f>
        <x:v>YES</x:v>
      </x:c>
    </x:row>
    <x:row r="11" ht="14.25" hidden="0" customHeight="1">
      <x:c r="A11" s="1" t="s">
        <x:v>80</x:v>
      </x:c>
      <x:c r="B11" s="1" t="s">
        <x:v>490</x:v>
      </x:c>
      <x:c r="C11" s="1" t="s">
        <x:v>491</x:v>
      </x:c>
      <x:c r="D11" s="1" t="n">
        <x:f aca="0">SUMIF(Scenario_Impacts!$B$11:$B$16,A11,Scenario_Impacts!$C$11:$C$16)</x:f>
        <x:v>0.05</x:v>
      </x:c>
      <x:c r="E11" s="1" t="n">
        <x:v>0.02</x:v>
      </x:c>
      <x:c r="F11" s="13" t="str">
        <x:f aca="0">IF(G11="NO","OPTIONAL",IF(D11&gt;=E11,"✓ COVERED","✗ MISSING"))</x:f>
        <x:v>✓ COVERED</x:v>
      </x:c>
      <x:c r="G11" s="1" t="str">
        <x:f aca="0">IF(A11="WTSL-AIX",IF(Config!$B$13="YES","YES","NO"),"YES")</x:f>
        <x:v>YES</x:v>
      </x:c>
    </x:row>
    <x:row r="12" ht="14.25" hidden="0" customHeight="1">
      <x:c r="A12" s="1" t="s">
        <x:v>81</x:v>
      </x:c>
      <x:c r="B12" s="1" t="s">
        <x:v>492</x:v>
      </x:c>
      <x:c r="C12" s="1" t="s">
        <x:v>493</x:v>
      </x:c>
      <x:c r="D12" s="1" t="n">
        <x:f aca="0">SUMIF(Scenario_Impacts!$B$11:$B$16,A12,Scenario_Impacts!$C$11:$C$16)</x:f>
        <x:v>0.02</x:v>
      </x:c>
      <x:c r="E12" s="1" t="n">
        <x:v>0.02</x:v>
      </x:c>
      <x:c r="F12" s="13" t="str">
        <x:f aca="0">IF(G12="NO","OPTIONAL",IF(D12&gt;=E12,"✓ COVERED","✗ MISSING"))</x:f>
        <x:v>OPTIONAL</x:v>
      </x:c>
      <x:c r="G12" s="1" t="str">
        <x:f aca="0">IF(A12="WTSL-AIX",IF(Config!$B$13="YES","YES","NO"),"YES")</x:f>
        <x:v>NO</x:v>
      </x:c>
    </x:row>
    <x:row r="13" ht="13.5" hidden="0" customHeight="1"/>
    <x:row r="14" ht="13.5" hidden="0" customHeight="1"/>
    <x:row r="15" ht="14.25" hidden="0" customHeight="1">
      <x:c r="A15" s="9" t="s">
        <x:v>494</x:v>
      </x:c>
    </x:row>
    <x:row r="16" ht="14.25" hidden="0" customHeight="1">
      <x:c r="A16" s="1" t="s">
        <x:v>495</x:v>
      </x:c>
      <x:c r="B16" s="13" t="n">
        <x:f aca="0">CANON!B41</x:f>
        <x:v>5</x:v>
      </x:c>
      <x:c r="C16" s="1" t="s">
        <x:v>496</x:v>
      </x:c>
    </x:row>
    <x:row r="17" ht="14.25" hidden="0" customHeight="1">
      <x:c r="A17" s="1" t="s">
        <x:v>497</x:v>
      </x:c>
      <x:c r="B17" s="13" t="n">
        <x:f aca="0">SUMPRODUCT((G7:G12&lt;&gt;"NO")*(D7:D12&gt;=E7:E12))</x:f>
        <x:v>5</x:v>
      </x:c>
    </x:row>
    <x:row r="18" ht="14.25" hidden="0" customHeight="1">
      <x:c r="A18" s="1" t="s">
        <x:v>498</x:v>
      </x:c>
      <x:c r="B18" s="1">
        <x:f aca="0">SUM(D7:D12)</x:f>
        <x:v>0.4000000000000001</x:v>
      </x:c>
      <x:c r="C18" s="1" t="s">
        <x:v>499</x:v>
      </x:c>
    </x:row>
  </x:sheetData>
  <x:mergeCells>
    <x:mergeCell ref="A1:H1"/>
  </x:mergeCells>
  <x:pageMargins left="0.7" right="0.7" top="0.75" bottom="0.75" header="0.3" footer="0.3"/>
</x:worksheet>
</file>

<file path=xl/worksheets/sheet11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cols>
    <x:col min="15" max="15" width="20" hidden="0" customWidth="1"/>
    <x:col min="16" max="16" width="34" hidden="0" customWidth="1"/>
    <x:col min="17" max="17" width="24" hidden="0" customWidth="1"/>
    <x:col min="18" max="18" width="18" hidden="0" customWidth="1"/>
    <x:col min="19" max="19" width="24" hidden="0" customWidth="1"/>
    <x:col min="20" max="20" width="40" hidden="0" customWidth="1"/>
  </x:cols>
  <x:sheetData>
    <x:row r="1" ht="14.25" hidden="0" customHeight="1">
      <x:c r="A1" s="26" t="s">
        <x:v>500</x:v>
      </x:c>
      <x:c r="B1" s="26"/>
      <x:c r="C1" s="26"/>
      <x:c r="D1" s="26"/>
      <x:c r="E1" s="26"/>
      <x:c r="F1" s="26"/>
      <x:c r="G1" s="26"/>
      <x:c r="H1" s="26"/>
      <x:c r="I1" s="26"/>
      <x:c r="J1" s="26"/>
      <x:c r="K1" s="26"/>
      <x:c r="L1" s="26"/>
      <x:c r="M1" s="26"/>
      <x:c r="N1" s="26"/>
    </x:row>
    <x:row r="2" ht="13.5" hidden="0" customHeight="1"/>
    <x:row r="3" ht="14.25" hidden="0" customHeight="1">
      <x:c r="A3" s="1" t="s">
        <x:v>501</x:v>
      </x:c>
      <x:c r="O3" s="43" t="s">
        <x:v>502</x:v>
      </x:c>
      <x:c r="R3" s="43" t="s">
        <x:v>503</x:v>
      </x:c>
    </x:row>
    <x:row r="4" ht="14.25" hidden="0" customHeight="1">
      <x:c r="A4" s="1" t="s">
        <x:v>504</x:v>
      </x:c>
    </x:row>
    <x:row r="5" ht="13.5" hidden="0" customHeight="1"/>
    <x:row r="6" ht="14.25" hidden="0" customHeight="1">
      <x:c r="A6" s="40" t="s">
        <x:v>505</x:v>
      </x:c>
      <x:c r="B6" s="40" t="s">
        <x:v>506</x:v>
      </x:c>
      <x:c r="C6" s="40" t="s">
        <x:v>425</x:v>
      </x:c>
      <x:c r="D6" s="40" t="s">
        <x:v>507</x:v>
      </x:c>
      <x:c r="E6" s="40" t="s">
        <x:v>480</x:v>
      </x:c>
      <x:c r="F6" s="40" t="s">
        <x:v>508</x:v>
      </x:c>
      <x:c r="G6" s="40" t="s">
        <x:v>509</x:v>
      </x:c>
      <x:c r="H6" s="40" t="s">
        <x:v>510</x:v>
      </x:c>
      <x:c r="I6" s="40" t="s">
        <x:v>511</x:v>
      </x:c>
      <x:c r="J6" s="40" t="s">
        <x:v>512</x:v>
      </x:c>
      <x:c r="K6" s="40" t="s">
        <x:v>513</x:v>
      </x:c>
      <x:c r="L6" s="40" t="s">
        <x:v>514</x:v>
      </x:c>
      <x:c r="M6" s="40" t="s">
        <x:v>515</x:v>
      </x:c>
      <x:c r="N6" s="40" t="s">
        <x:v>516</x:v>
      </x:c>
      <x:c r="O6" s="44" t="s">
        <x:v>517</x:v>
      </x:c>
      <x:c r="P6" s="44" t="s">
        <x:v>518</x:v>
      </x:c>
      <x:c r="Q6" s="44" t="s">
        <x:v>519</x:v>
      </x:c>
      <x:c r="R6" s="44" t="s">
        <x:v>520</x:v>
      </x:c>
      <x:c r="S6" s="44" t="s">
        <x:v>521</x:v>
      </x:c>
      <x:c r="T6" s="44" t="s">
        <x:v>522</x:v>
      </x:c>
    </x:row>
    <x:row r="7" ht="14.25" hidden="0" customHeight="1">
      <x:c r="A7" s="1" t="s">
        <x:v>523</x:v>
      </x:c>
      <x:c r="B7" s="1" t="s">
        <x:v>524</x:v>
      </x:c>
      <x:c r="C7" s="1" t="s">
        <x:v>430</x:v>
      </x:c>
      <x:c r="D7" s="1" t="s">
        <x:v>437</x:v>
      </x:c>
      <x:c r="E7" s="1" t="s">
        <x:v>525</x:v>
      </x:c>
      <x:c r="F7" s="1" t="n">
        <x:v>-0.3</x:v>
      </x:c>
      <x:c r="G7" s="1" t="n">
        <x:v>0.8</x:v>
      </x:c>
      <x:c r="H7" s="1" t="n">
        <x:v>0.7</x:v>
      </x:c>
      <x:c r="I7" s="1" t="n">
        <x:v>0.5</x:v>
      </x:c>
      <x:c r="J7" s="1" t="n">
        <x:v>5</x:v>
      </x:c>
      <x:c r="K7" s="1" t="n">
        <x:v>1</x:v>
      </x:c>
      <x:c r="L7" s="1" t="n">
        <x:v>1</x:v>
      </x:c>
      <x:c r="M7" s="10">
        <x:f aca="0">MIN(1, LN(1+MAX(J7, CANON!$B$27)) / LN(1+CANON!$B$25))</x:f>
        <x:v>0.5499405706118586</x:v>
      </x:c>
      <x:c r="N7" s="45">
        <x:f aca="0">F7*G7*H7*I7*K7*L7*M7</x:f>
        <x:v>-0.04619500793139612</x:v>
      </x:c>
      <x:c r="O7" s="46" t="s">
        <x:v>526</x:v>
      </x:c>
      <x:c r="P7" s="46" t="s">
        <x:v>527</x:v>
      </x:c>
      <x:c r="Q7" s="46" t="s">
        <x:v>528</x:v>
      </x:c>
      <x:c r="R7" s="46" t="s">
        <x:v>529</x:v>
      </x:c>
      <x:c r="S7" s="46" t="n">
        <x:v>1</x:v>
      </x:c>
      <x:c r="T7" s="46" t="s">
        <x:v>530</x:v>
      </x:c>
    </x:row>
    <x:row r="8" ht="14.25" hidden="0" customHeight="1">
      <x:c r="A8" s="1" t="s">
        <x:v>531</x:v>
      </x:c>
      <x:c r="B8" s="1" t="s">
        <x:v>524</x:v>
      </x:c>
      <x:c r="C8" s="1" t="s">
        <x:v>430</x:v>
      </x:c>
      <x:c r="D8" s="1" t="s">
        <x:v>437</x:v>
      </x:c>
      <x:c r="E8" s="1" t="s">
        <x:v>532</x:v>
      </x:c>
      <x:c r="F8" s="1" t="n">
        <x:v>0.15</x:v>
      </x:c>
      <x:c r="G8" s="1" t="n">
        <x:v>0.6</x:v>
      </x:c>
      <x:c r="H8" s="1" t="n">
        <x:v>0.5</x:v>
      </x:c>
      <x:c r="I8" s="1" t="n">
        <x:v>0.3</x:v>
      </x:c>
      <x:c r="J8" s="1" t="n">
        <x:v>3</x:v>
      </x:c>
      <x:c r="K8" s="1" t="n">
        <x:v>1</x:v>
      </x:c>
      <x:c r="L8" s="1" t="n">
        <x:v>1</x:v>
      </x:c>
      <x:c r="M8" s="10">
        <x:f aca="0">MIN(1, LN(1+MAX(J8, CANON!$B$27)) / LN(1+CANON!$B$25))</x:f>
        <x:v>0.4254921071067263</x:v>
      </x:c>
      <x:c r="N8" s="45">
        <x:f aca="0">F8*G8*H8*I8*K8*L8*M8</x:f>
        <x:v>0.005744143445940805</x:v>
      </x:c>
      <x:c r="O8" s="46" t="s">
        <x:v>526</x:v>
      </x:c>
      <x:c r="P8" s="46" t="s">
        <x:v>527</x:v>
      </x:c>
      <x:c r="Q8" s="46" t="s">
        <x:v>528</x:v>
      </x:c>
      <x:c r="R8" s="46" t="s">
        <x:v>529</x:v>
      </x:c>
      <x:c r="S8" s="46" t="n">
        <x:v>1</x:v>
      </x:c>
      <x:c r="T8" s="46" t="s">
        <x:v>530</x:v>
      </x:c>
    </x:row>
    <x:row r="9" ht="14.25" hidden="0" customHeight="1">
      <x:c r="A9" s="1" t="s">
        <x:v>533</x:v>
      </x:c>
      <x:c r="B9" s="1" t="s">
        <x:v>524</x:v>
      </x:c>
      <x:c r="C9" s="1" t="s">
        <x:v>427</x:v>
      </x:c>
      <x:c r="D9" s="1" t="s">
        <x:v>436</x:v>
      </x:c>
      <x:c r="E9" s="1" t="s">
        <x:v>534</x:v>
      </x:c>
      <x:c r="F9" s="1" t="n">
        <x:v>0.4</x:v>
      </x:c>
      <x:c r="G9" s="1" t="n">
        <x:v>0.9</x:v>
      </x:c>
      <x:c r="H9" s="1" t="n">
        <x:v>0.8</x:v>
      </x:c>
      <x:c r="I9" s="1" t="n">
        <x:v>0.6</x:v>
      </x:c>
      <x:c r="J9" s="1" t="n">
        <x:v>10</x:v>
      </x:c>
      <x:c r="K9" s="1" t="n">
        <x:v>1</x:v>
      </x:c>
      <x:c r="L9" s="1" t="n">
        <x:v>1</x:v>
      </x:c>
      <x:c r="M9" s="10">
        <x:f aca="0">MIN(1, LN(1+MAX(J9, CANON!$B$27)) / LN(1+CANON!$B$25))</x:f>
        <x:v>0.7359804244028082</x:v>
      </x:c>
      <x:c r="N9" s="45">
        <x:f aca="0">F9*G9*H9*I9*K9*L9*M9</x:f>
        <x:v>0.12717741733680527</x:v>
      </x:c>
      <x:c r="O9" s="46" t="s">
        <x:v>526</x:v>
      </x:c>
      <x:c r="P9" s="46" t="s">
        <x:v>527</x:v>
      </x:c>
      <x:c r="Q9" s="46" t="s">
        <x:v>528</x:v>
      </x:c>
      <x:c r="R9" s="46" t="s">
        <x:v>529</x:v>
      </x:c>
      <x:c r="S9" s="46" t="n">
        <x:v>1</x:v>
      </x:c>
      <x:c r="T9" s="46" t="s">
        <x:v>530</x:v>
      </x:c>
    </x:row>
    <x:row r="10" ht="14.25" hidden="0" customHeight="1">
      <x:c r="A10" s="1" t="s">
        <x:v>535</x:v>
      </x:c>
      <x:c r="B10" s="1" t="s">
        <x:v>524</x:v>
      </x:c>
      <x:c r="C10" s="1" t="s">
        <x:v>429</x:v>
      </x:c>
      <x:c r="D10" s="1" t="s">
        <x:v>438</x:v>
      </x:c>
      <x:c r="E10" s="1" t="s">
        <x:v>536</x:v>
      </x:c>
      <x:c r="F10" s="1" t="n">
        <x:v>0.25</x:v>
      </x:c>
      <x:c r="G10" s="1" t="n">
        <x:v>0.7</x:v>
      </x:c>
      <x:c r="H10" s="1" t="n">
        <x:v>0.6</x:v>
      </x:c>
      <x:c r="I10" s="1" t="n">
        <x:v>0.4</x:v>
      </x:c>
      <x:c r="J10" s="1" t="n">
        <x:v>5</x:v>
      </x:c>
      <x:c r="K10" s="1" t="n">
        <x:v>1</x:v>
      </x:c>
      <x:c r="L10" s="1" t="n">
        <x:v>1</x:v>
      </x:c>
      <x:c r="M10" s="10">
        <x:f aca="0">MIN(1, LN(1+MAX(J10, CANON!$B$27)) / LN(1+CANON!$B$25))</x:f>
        <x:v>0.5499405706118586</x:v>
      </x:c>
      <x:c r="N10" s="45">
        <x:f aca="0">F10*G10*H10*I10*K10*L10*M10</x:f>
        <x:v>0.023097503965698065</x:v>
      </x:c>
      <x:c r="O10" s="46" t="s">
        <x:v>526</x:v>
      </x:c>
      <x:c r="P10" s="46" t="s">
        <x:v>527</x:v>
      </x:c>
      <x:c r="Q10" s="46" t="s">
        <x:v>528</x:v>
      </x:c>
      <x:c r="R10" s="46" t="s">
        <x:v>529</x:v>
      </x:c>
      <x:c r="S10" s="46" t="n">
        <x:v>1</x:v>
      </x:c>
      <x:c r="T10" s="46" t="s">
        <x:v>530</x:v>
      </x:c>
    </x:row>
    <x:row r="11" ht="14.25" hidden="0" customHeight="1">
      <x:c r="A11" s="1" t="s">
        <x:v>537</x:v>
      </x:c>
      <x:c r="B11" s="1" t="s">
        <x:v>524</x:v>
      </x:c>
      <x:c r="C11" s="1" t="s">
        <x:v>427</x:v>
      </x:c>
      <x:c r="D11" s="1" t="s">
        <x:v>538</x:v>
      </x:c>
      <x:c r="E11" s="1" t="s">
        <x:v>539</x:v>
      </x:c>
      <x:c r="F11" s="1" t="n">
        <x:v>0.35</x:v>
      </x:c>
      <x:c r="G11" s="1" t="n">
        <x:v>0.8</x:v>
      </x:c>
      <x:c r="H11" s="1" t="n">
        <x:v>0.7</x:v>
      </x:c>
      <x:c r="I11" s="1" t="n">
        <x:v>0.5</x:v>
      </x:c>
      <x:c r="J11" s="1" t="n">
        <x:v>10</x:v>
      </x:c>
      <x:c r="K11" s="1" t="n">
        <x:v>1</x:v>
      </x:c>
      <x:c r="L11" s="1" t="n">
        <x:v>1</x:v>
      </x:c>
      <x:c r="M11" s="10">
        <x:f aca="0">MIN(1, LN(1+MAX(J11, CANON!$B$27)) / LN(1+CANON!$B$25))</x:f>
        <x:v>0.7359804244028082</x:v>
      </x:c>
      <x:c r="N11" s="45" t="n">
        <x:f aca="0">F11*G11*H11*I11*K11*L11*M11</x:f>
        <x:v>0.0721260815914752</x:v>
      </x:c>
      <x:c r="O11" s="46" t="s">
        <x:v>526</x:v>
      </x:c>
      <x:c r="P11" s="46" t="s">
        <x:v>527</x:v>
      </x:c>
      <x:c r="Q11" s="46" t="s">
        <x:v>528</x:v>
      </x:c>
      <x:c r="R11" s="46" t="s">
        <x:v>529</x:v>
      </x:c>
      <x:c r="S11" s="46" t="n">
        <x:v>1</x:v>
      </x:c>
      <x:c r="T11" s="46" t="s">
        <x:v>530</x:v>
      </x:c>
    </x:row>
    <x:row r="12" ht="14.25" hidden="0" customHeight="1">
      <x:c r="A12" s="1" t="s">
        <x:v>540</x:v>
      </x:c>
      <x:c r="B12" s="1" t="s">
        <x:v>524</x:v>
      </x:c>
      <x:c r="C12" s="1" t="s">
        <x:v>435</x:v>
      </x:c>
      <x:c r="D12" s="1" t="s">
        <x:v>434</x:v>
      </x:c>
      <x:c r="E12" s="1" t="s">
        <x:v>541</x:v>
      </x:c>
      <x:c r="F12" s="1" t="n">
        <x:v>0.15</x:v>
      </x:c>
      <x:c r="G12" s="1" t="n">
        <x:v>0.5</x:v>
      </x:c>
      <x:c r="H12" s="1" t="n">
        <x:v>0.4</x:v>
      </x:c>
      <x:c r="I12" s="1" t="n">
        <x:v>0.3</x:v>
      </x:c>
      <x:c r="J12" s="1" t="n">
        <x:v>15</x:v>
      </x:c>
      <x:c r="K12" s="1" t="n">
        <x:v>1</x:v>
      </x:c>
      <x:c r="L12" s="1" t="n">
        <x:v>1</x:v>
      </x:c>
      <x:c r="M12" s="10">
        <x:f aca="0">MIN(1, LN(1+MAX(J12, CANON!$B$27)) / LN(1+CANON!$B$25))</x:f>
        <x:v>0.8509842142134526</x:v>
      </x:c>
      <x:c r="N12" s="45">
        <x:f aca="0">F12*G12*H12*I12*K12*L12*M12</x:f>
        <x:v>0.007658857927921073</x:v>
      </x:c>
      <x:c r="O12" s="46" t="s">
        <x:v>526</x:v>
      </x:c>
      <x:c r="P12" s="46" t="s">
        <x:v>527</x:v>
      </x:c>
      <x:c r="Q12" s="46" t="s">
        <x:v>528</x:v>
      </x:c>
      <x:c r="R12" s="46" t="s">
        <x:v>529</x:v>
      </x:c>
      <x:c r="S12" s="46" t="n">
        <x:v>1</x:v>
      </x:c>
      <x:c r="T12" s="46" t="s">
        <x:v>530</x:v>
      </x:c>
    </x:row>
    <x:row r="13" ht="14.25" hidden="0" customHeight="1">
      <x:c r="A13" s="1" t="s">
        <x:v>542</x:v>
      </x:c>
      <x:c r="B13" s="1" t="s">
        <x:v>524</x:v>
      </x:c>
      <x:c r="C13" s="1" t="s">
        <x:v>431</x:v>
      </x:c>
      <x:c r="D13" s="1" t="s">
        <x:v>438</x:v>
      </x:c>
      <x:c r="E13" s="1" t="s">
        <x:v>543</x:v>
      </x:c>
      <x:c r="F13" s="1" t="n">
        <x:v>-0.2</x:v>
      </x:c>
      <x:c r="G13" s="1" t="n">
        <x:v>0.9</x:v>
      </x:c>
      <x:c r="H13" s="1" t="n">
        <x:v>0.8</x:v>
      </x:c>
      <x:c r="I13" s="1" t="n">
        <x:v>0.7</x:v>
      </x:c>
      <x:c r="J13" s="1" t="n">
        <x:v>3</x:v>
      </x:c>
      <x:c r="K13" s="1" t="n">
        <x:v>1</x:v>
      </x:c>
      <x:c r="L13" s="1" t="n">
        <x:v>1</x:v>
      </x:c>
      <x:c r="M13" s="10">
        <x:f aca="0">MIN(1, LN(1+MAX(J13, CANON!$B$27)) / LN(1+CANON!$B$25))</x:f>
        <x:v>0.4254921071067263</x:v>
      </x:c>
      <x:c r="N13" s="45">
        <x:f aca="0">F13*G13*H13*I13*K13*L13*M13</x:f>
        <x:v>-0.042889604396358014</x:v>
      </x:c>
      <x:c r="O13" s="46" t="s">
        <x:v>526</x:v>
      </x:c>
      <x:c r="P13" s="46" t="s">
        <x:v>527</x:v>
      </x:c>
      <x:c r="Q13" s="46" t="s">
        <x:v>528</x:v>
      </x:c>
      <x:c r="R13" s="46" t="s">
        <x:v>529</x:v>
      </x:c>
      <x:c r="S13" s="46" t="n">
        <x:v>1</x:v>
      </x:c>
      <x:c r="T13" s="46" t="s">
        <x:v>530</x:v>
      </x:c>
    </x:row>
    <x:row r="14" ht="14.25" hidden="0" customHeight="1">
      <x:c r="A14" s="1" t="s">
        <x:v>544</x:v>
      </x:c>
      <x:c r="B14" s="1" t="s">
        <x:v>524</x:v>
      </x:c>
      <x:c r="C14" s="1" t="s">
        <x:v>430</x:v>
      </x:c>
      <x:c r="D14" s="1" t="s">
        <x:v>438</x:v>
      </x:c>
      <x:c r="E14" s="1" t="s">
        <x:v>545</x:v>
      </x:c>
      <x:c r="F14" s="1" t="n">
        <x:v>-0.15</x:v>
      </x:c>
      <x:c r="G14" s="1" t="n">
        <x:v>0.6</x:v>
      </x:c>
      <x:c r="H14" s="1" t="n">
        <x:v>0.5</x:v>
      </x:c>
      <x:c r="I14" s="1" t="n">
        <x:v>0.4</x:v>
      </x:c>
      <x:c r="J14" s="1" t="n">
        <x:v>5</x:v>
      </x:c>
      <x:c r="K14" s="1" t="n">
        <x:v>1</x:v>
      </x:c>
      <x:c r="L14" s="1" t="n">
        <x:v>1</x:v>
      </x:c>
      <x:c r="M14" s="10">
        <x:f aca="0">MIN(1, LN(1+MAX(J14, CANON!$B$27)) / LN(1+CANON!$B$25))</x:f>
        <x:v>0.5499405706118586</x:v>
      </x:c>
      <x:c r="N14" s="45">
        <x:f aca="0">F14*G14*H14*I14*K14*L14*M14</x:f>
        <x:v>-0.009898930271013455</x:v>
      </x:c>
      <x:c r="O14" s="46" t="s">
        <x:v>526</x:v>
      </x:c>
      <x:c r="P14" s="46" t="s">
        <x:v>527</x:v>
      </x:c>
      <x:c r="Q14" s="46" t="s">
        <x:v>528</x:v>
      </x:c>
      <x:c r="R14" s="46" t="s">
        <x:v>529</x:v>
      </x:c>
      <x:c r="S14" s="46" t="n">
        <x:v>1</x:v>
      </x:c>
      <x:c r="T14" s="46" t="s">
        <x:v>530</x:v>
      </x:c>
    </x:row>
    <x:row r="15" ht="14.25" hidden="0" customHeight="1">
      <x:c r="A15" s="1" t="s">
        <x:v>546</x:v>
      </x:c>
      <x:c r="B15" s="1" t="s">
        <x:v>547</x:v>
      </x:c>
      <x:c r="C15" s="1" t="s">
        <x:v>430</x:v>
      </x:c>
      <x:c r="D15" s="1" t="s">
        <x:v>437</x:v>
      </x:c>
      <x:c r="E15" s="1" t="s">
        <x:v>548</x:v>
      </x:c>
      <x:c r="F15" s="1" t="n">
        <x:v>0.2</x:v>
      </x:c>
      <x:c r="G15" s="1" t="n">
        <x:v>0.8</x:v>
      </x:c>
      <x:c r="H15" s="1" t="n">
        <x:v>0.7</x:v>
      </x:c>
      <x:c r="I15" s="1" t="n">
        <x:v>0.5</x:v>
      </x:c>
      <x:c r="J15" s="1" t="n">
        <x:v>5</x:v>
      </x:c>
      <x:c r="K15" s="1" t="n">
        <x:v>1</x:v>
      </x:c>
      <x:c r="L15" s="1" t="n">
        <x:v>1</x:v>
      </x:c>
      <x:c r="M15" s="10">
        <x:f aca="0">MIN(1, LN(1+MAX(J15, CANON!$B$27)) / LN(1+CANON!$B$25))</x:f>
        <x:v>0.5499405706118586</x:v>
      </x:c>
      <x:c r="N15" s="45">
        <x:f aca="0">F15*G15*H15*I15*K15*L15*M15</x:f>
        <x:v>0.03079667195426409</x:v>
      </x:c>
      <x:c r="O15" s="46" t="s">
        <x:v>526</x:v>
      </x:c>
      <x:c r="P15" s="46" t="s">
        <x:v>527</x:v>
      </x:c>
      <x:c r="Q15" s="46" t="s">
        <x:v>528</x:v>
      </x:c>
      <x:c r="R15" s="46" t="s">
        <x:v>529</x:v>
      </x:c>
      <x:c r="S15" s="46" t="n">
        <x:v>1</x:v>
      </x:c>
      <x:c r="T15" s="46" t="s">
        <x:v>530</x:v>
      </x:c>
    </x:row>
    <x:row r="16" ht="14.25" hidden="0" customHeight="1">
      <x:c r="A16" s="1" t="s">
        <x:v>549</x:v>
      </x:c>
      <x:c r="B16" s="1" t="s">
        <x:v>547</x:v>
      </x:c>
      <x:c r="C16" s="1" t="s">
        <x:v>427</x:v>
      </x:c>
      <x:c r="D16" s="1" t="s">
        <x:v>436</x:v>
      </x:c>
      <x:c r="E16" s="1" t="s">
        <x:v>550</x:v>
      </x:c>
      <x:c r="F16" s="1" t="n">
        <x:v>-0.15</x:v>
      </x:c>
      <x:c r="G16" s="1" t="n">
        <x:v>0.7</x:v>
      </x:c>
      <x:c r="H16" s="1" t="n">
        <x:v>0.6</x:v>
      </x:c>
      <x:c r="I16" s="1" t="n">
        <x:v>0.5</x:v>
      </x:c>
      <x:c r="J16" s="1" t="n">
        <x:v>10</x:v>
      </x:c>
      <x:c r="K16" s="1" t="n">
        <x:v>1</x:v>
      </x:c>
      <x:c r="L16" s="1" t="n">
        <x:v>1</x:v>
      </x:c>
      <x:c r="M16" s="10">
        <x:f aca="0">MIN(1, LN(1+MAX(J16, CANON!$B$27)) / LN(1+CANON!$B$25))</x:f>
        <x:v>0.7359804244028082</x:v>
      </x:c>
      <x:c r="N16" s="45">
        <x:f aca="0">F16*G16*H16*I16*K16*L16*M16</x:f>
        <x:v>-0.02318338336868846</x:v>
      </x:c>
      <x:c r="O16" s="46" t="s">
        <x:v>526</x:v>
      </x:c>
      <x:c r="P16" s="46" t="s">
        <x:v>527</x:v>
      </x:c>
      <x:c r="Q16" s="46" t="s">
        <x:v>528</x:v>
      </x:c>
      <x:c r="R16" s="46" t="s">
        <x:v>529</x:v>
      </x:c>
      <x:c r="S16" s="46" t="n">
        <x:v>1</x:v>
      </x:c>
      <x:c r="T16" s="46" t="s">
        <x:v>530</x:v>
      </x:c>
    </x:row>
    <x:row r="17" ht="14.25" hidden="0" customHeight="1">
      <x:c r="A17" s="1" t="s">
        <x:v>551</x:v>
      </x:c>
      <x:c r="B17" s="1" t="s">
        <x:v>547</x:v>
      </x:c>
      <x:c r="C17" s="1" t="s">
        <x:v>429</x:v>
      </x:c>
      <x:c r="D17" s="1" t="s">
        <x:v>438</x:v>
      </x:c>
      <x:c r="E17" s="1" t="s">
        <x:v>552</x:v>
      </x:c>
      <x:c r="F17" s="1" t="n">
        <x:v>-0.1</x:v>
      </x:c>
      <x:c r="G17" s="1" t="n">
        <x:v>0.7</x:v>
      </x:c>
      <x:c r="H17" s="1" t="n">
        <x:v>0.6</x:v>
      </x:c>
      <x:c r="I17" s="1" t="n">
        <x:v>0.4</x:v>
      </x:c>
      <x:c r="J17" s="1" t="n">
        <x:v>5</x:v>
      </x:c>
      <x:c r="K17" s="1" t="n">
        <x:v>1</x:v>
      </x:c>
      <x:c r="L17" s="1" t="n">
        <x:v>1</x:v>
      </x:c>
      <x:c r="M17" s="10">
        <x:f aca="0">MIN(1, LN(1+MAX(J17, CANON!$B$27)) / LN(1+CANON!$B$25))</x:f>
        <x:v>0.5499405706118586</x:v>
      </x:c>
      <x:c r="N17" s="45">
        <x:f aca="0">F17*G17*H17*I17*K17*L17*M17</x:f>
        <x:v>-0.009239001586279225</x:v>
      </x:c>
      <x:c r="O17" s="46" t="s">
        <x:v>526</x:v>
      </x:c>
      <x:c r="P17" s="46" t="s">
        <x:v>527</x:v>
      </x:c>
      <x:c r="Q17" s="46" t="s">
        <x:v>528</x:v>
      </x:c>
      <x:c r="R17" s="46" t="s">
        <x:v>529</x:v>
      </x:c>
      <x:c r="S17" s="46" t="n">
        <x:v>1</x:v>
      </x:c>
      <x:c r="T17" s="46" t="s">
        <x:v>530</x:v>
      </x:c>
    </x:row>
    <x:row r="18" ht="14.25" hidden="0" customHeight="1">
      <x:c r="A18" s="1" t="s">
        <x:v>553</x:v>
      </x:c>
      <x:c r="B18" s="1" t="s">
        <x:v>547</x:v>
      </x:c>
      <x:c r="C18" s="1" t="s">
        <x:v>435</x:v>
      </x:c>
      <x:c r="D18" s="1" t="s">
        <x:v>434</x:v>
      </x:c>
      <x:c r="E18" s="1" t="s">
        <x:v>554</x:v>
      </x:c>
      <x:c r="F18" s="1" t="n">
        <x:v>-0.1</x:v>
      </x:c>
      <x:c r="G18" s="1" t="n">
        <x:v>0.5</x:v>
      </x:c>
      <x:c r="H18" s="1" t="n">
        <x:v>0.4</x:v>
      </x:c>
      <x:c r="I18" s="1" t="n">
        <x:v>0.3</x:v>
      </x:c>
      <x:c r="J18" s="1" t="n">
        <x:v>15</x:v>
      </x:c>
      <x:c r="K18" s="1" t="n">
        <x:v>1</x:v>
      </x:c>
      <x:c r="L18" s="1" t="n">
        <x:v>1</x:v>
      </x:c>
      <x:c r="M18" s="10">
        <x:f aca="0">MIN(1, LN(1+MAX(J18, CANON!$B$27)) / LN(1+CANON!$B$25))</x:f>
        <x:v>0.8509842142134526</x:v>
      </x:c>
      <x:c r="N18" s="45">
        <x:f aca="0">F18*G18*H18*I18*K18*L18*M18</x:f>
        <x:v>-0.005105905285280717</x:v>
      </x:c>
      <x:c r="O18" s="46" t="s">
        <x:v>526</x:v>
      </x:c>
      <x:c r="P18" s="46" t="s">
        <x:v>527</x:v>
      </x:c>
      <x:c r="Q18" s="46" t="s">
        <x:v>528</x:v>
      </x:c>
      <x:c r="R18" s="46" t="s">
        <x:v>529</x:v>
      </x:c>
      <x:c r="S18" s="46" t="n">
        <x:v>1</x:v>
      </x:c>
      <x:c r="T18" s="46" t="s">
        <x:v>530</x:v>
      </x:c>
    </x:row>
    <x:row r="19" ht="14.25" hidden="0" customHeight="1">
      <x:c r="A19" s="1" t="s">
        <x:v>555</x:v>
      </x:c>
      <x:c r="B19" s="1" t="s">
        <x:v>547</x:v>
      </x:c>
      <x:c r="C19" s="1" t="s">
        <x:v>431</x:v>
      </x:c>
      <x:c r="D19" s="1" t="s">
        <x:v>438</x:v>
      </x:c>
      <x:c r="E19" s="1" t="s">
        <x:v>556</x:v>
      </x:c>
      <x:c r="F19" s="1" t="n">
        <x:v>0.1</x:v>
      </x:c>
      <x:c r="G19" s="1" t="n">
        <x:v>0.6</x:v>
      </x:c>
      <x:c r="H19" s="1" t="n">
        <x:v>0.5</x:v>
      </x:c>
      <x:c r="I19" s="1" t="n">
        <x:v>0.4</x:v>
      </x:c>
      <x:c r="J19" s="1" t="n">
        <x:v>3</x:v>
      </x:c>
      <x:c r="K19" s="1" t="n">
        <x:v>1</x:v>
      </x:c>
      <x:c r="L19" s="1" t="n">
        <x:v>1</x:v>
      </x:c>
      <x:c r="M19" s="10">
        <x:f aca="0">MIN(1, LN(1+MAX(J19, CANON!$B$27)) / LN(1+CANON!$B$25))</x:f>
        <x:v>0.4254921071067263</x:v>
      </x:c>
      <x:c r="N19" s="45">
        <x:f aca="0">F19*G19*H19*I19*K19*L19*M19</x:f>
        <x:v>0.005105905285280716</x:v>
      </x:c>
      <x:c r="O19" s="46" t="s">
        <x:v>526</x:v>
      </x:c>
      <x:c r="P19" s="46" t="s">
        <x:v>527</x:v>
      </x:c>
      <x:c r="Q19" s="46" t="s">
        <x:v>528</x:v>
      </x:c>
      <x:c r="R19" s="46" t="s">
        <x:v>529</x:v>
      </x:c>
      <x:c r="S19" s="46" t="n">
        <x:v>1</x:v>
      </x:c>
      <x:c r="T19" s="46" t="s">
        <x:v>530</x:v>
      </x:c>
    </x:row>
    <x:row r="20" ht="14.25" hidden="0" customHeight="1">
      <x:c r="A20" s="1" t="s">
        <x:v>557</x:v>
      </x:c>
      <x:c r="B20" s="1" t="s">
        <x:v>547</x:v>
      </x:c>
      <x:c r="C20" s="1" t="s">
        <x:v>430</x:v>
      </x:c>
      <x:c r="D20" s="1" t="s">
        <x:v>438</x:v>
      </x:c>
      <x:c r="E20" s="1" t="s">
        <x:v>558</x:v>
      </x:c>
      <x:c r="F20" s="1" t="n">
        <x:v>0.1</x:v>
      </x:c>
      <x:c r="G20" s="1" t="n">
        <x:v>0.6</x:v>
      </x:c>
      <x:c r="H20" s="1" t="n">
        <x:v>0.5</x:v>
      </x:c>
      <x:c r="I20" s="1" t="n">
        <x:v>0.4</x:v>
      </x:c>
      <x:c r="J20" s="1" t="n">
        <x:v>5</x:v>
      </x:c>
      <x:c r="K20" s="1" t="n">
        <x:v>1</x:v>
      </x:c>
      <x:c r="L20" s="1" t="n">
        <x:v>1</x:v>
      </x:c>
      <x:c r="M20" s="10">
        <x:f aca="0">MIN(1, LN(1+MAX(J20, CANON!$B$27)) / LN(1+CANON!$B$25))</x:f>
        <x:v>0.5499405706118586</x:v>
      </x:c>
      <x:c r="N20" s="45">
        <x:f aca="0">F20*G20*H20*I20*K20*L20*M20</x:f>
        <x:v>0.006599286847342304</x:v>
      </x:c>
      <x:c r="O20" s="46" t="s">
        <x:v>526</x:v>
      </x:c>
      <x:c r="P20" s="46" t="s">
        <x:v>527</x:v>
      </x:c>
      <x:c r="Q20" s="46" t="s">
        <x:v>528</x:v>
      </x:c>
      <x:c r="R20" s="46" t="s">
        <x:v>529</x:v>
      </x:c>
      <x:c r="S20" s="46" t="n">
        <x:v>1</x:v>
      </x:c>
      <x:c r="T20" s="46" t="s">
        <x:v>530</x:v>
      </x:c>
    </x:row>
  </x:sheetData>
  <x:mergeCells>
    <x:mergeCell ref="A1:N1"/>
  </x:mergeCells>
  <x:pageMargins left="0.7" right="0.7" top="0.75" bottom="0.75" header="0.3" footer="0.3"/>
</x:worksheet>
</file>

<file path=xl/worksheets/sheet12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cols>
    <x:col min="10" max="10" width="18" hidden="0" customWidth="1"/>
    <x:col min="11" max="11" width="40" hidden="0" customWidth="1"/>
  </x:cols>
  <x:sheetData>
    <x:row r="1" ht="14.25" hidden="0" customHeight="1">
      <x:c r="A1" s="26" t="s">
        <x:v>559</x:v>
      </x:c>
      <x:c r="B1" s="26"/>
      <x:c r="C1" s="26"/>
      <x:c r="D1" s="26"/>
      <x:c r="E1" s="26"/>
      <x:c r="F1" s="26"/>
      <x:c r="G1" s="26"/>
      <x:c r="H1" s="26"/>
    </x:row>
    <x:row r="2" ht="13.5" hidden="0" customHeight="1"/>
    <x:row r="3" ht="14.25" hidden="0" customHeight="1">
      <x:c r="A3" s="1" t="s">
        <x:v>560</x:v>
      </x:c>
    </x:row>
    <x:row r="4" ht="14.25" hidden="0" customHeight="1">
      <x:c r="A4" s="1" t="s">
        <x:v>561</x:v>
      </x:c>
    </x:row>
    <x:row r="5" ht="14.25" hidden="0" customHeight="1">
      <x:c r="A5" s="1" t="s">
        <x:v>562</x:v>
      </x:c>
      <x:c r="J5" t="s">
        <x:v>563</x:v>
      </x:c>
    </x:row>
    <x:row r="6" ht="14.25" hidden="0" customHeight="1">
      <x:c r="A6" s="9" t="s">
        <x:v>564</x:v>
      </x:c>
    </x:row>
    <x:row r="7" ht="13.5" hidden="0" customHeight="1"/>
    <x:row r="8" ht="14.25" hidden="0" customHeight="1">
      <x:c r="A8" s="9" t="s">
        <x:v>565</x:v>
      </x:c>
    </x:row>
    <x:row r="9" ht="14.25" hidden="0" customHeight="1">
      <x:c r="A9" s="9" t="s">
        <x:v>566</x:v>
      </x:c>
      <x:c r="B9" s="9" t="s">
        <x:v>479</x:v>
      </x:c>
      <x:c r="C9" s="9" t="s">
        <x:v>567</x:v>
      </x:c>
      <x:c r="D9" s="9" t="s">
        <x:v>568</x:v>
      </x:c>
      <x:c r="E9" s="9" t="s">
        <x:v>569</x:v>
      </x:c>
      <x:c r="F9" s="1" t="s">
        <x:v>570</x:v>
      </x:c>
      <x:c r="G9" s="1" t="s">
        <x:v>571</x:v>
      </x:c>
      <x:c r="H9" s="1" t="s">
        <x:v>572</x:v>
      </x:c>
      <x:c r="I9" s="1" t="s">
        <x:v>573</x:v>
      </x:c>
      <x:c r="J9" s="47" t="s">
        <x:v>574</x:v>
      </x:c>
      <x:c r="K9" s="47" t="s">
        <x:v>575</x:v>
      </x:c>
    </x:row>
    <x:row r="10" ht="14.25" hidden="0" customHeight="1">
      <x:c r="A10" s="1" t="s">
        <x:v>576</x:v>
      </x:c>
      <x:c r="B10" s="1" t="s">
        <x:v>577</x:v>
      </x:c>
      <x:c r="C10" s="1" t="n">
        <x:v>0.6</x:v>
      </x:c>
      <x:c r="D10" s="10" t="n">
        <x:f aca="0">I10</x:f>
        <x:v>0</x:v>
      </x:c>
      <x:c r="E10" s="1" t="s">
        <x:v>578</x:v>
      </x:c>
      <x:c r="F10" s="10" t="n">
        <x:v>0</x:v>
      </x:c>
      <x:c r="G10" s="10" t="n">
        <x:v>0</x:v>
      </x:c>
      <x:c r="H10" s="10" t="n">
        <x:v>0.015317</x:v>
      </x:c>
      <x:c r="I10" s="10" t="n">
        <x:f aca="0">0.35*MAX(0,-F10)+0.3*MAX(0,-G10)+0.35*MAX(0,-H10)</x:f>
        <x:v>0</x:v>
      </x:c>
      <x:c r="J10" s="48" t="s">
        <x:v>579</x:v>
      </x:c>
      <x:c r="K10" s="48" t="s">
        <x:v>580</x:v>
      </x:c>
    </x:row>
    <x:row r="11" ht="14.25" hidden="0" customHeight="1">
      <x:c r="A11" s="1" t="s">
        <x:v>581</x:v>
      </x:c>
      <x:c r="B11" s="1" t="s">
        <x:v>78</x:v>
      </x:c>
      <x:c r="C11" s="1" t="n">
        <x:v>0.15</x:v>
      </x:c>
      <x:c r="D11" s="10">
        <x:f aca="0">I11</x:f>
        <x:v>0.006999999999999999</x:v>
      </x:c>
      <x:c r="E11" s="1" t="s">
        <x:v>582</x:v>
      </x:c>
      <x:c r="F11" s="1" t="n">
        <x:v>-0.02</x:v>
      </x:c>
      <x:c r="G11" s="1" t="n">
        <x:v>0</x:v>
      </x:c>
      <x:c r="H11" s="1" t="n">
        <x:v>0.01</x:v>
      </x:c>
      <x:c r="I11" s="10">
        <x:f aca="0">0.35*MAX(0,-F11)+0.3*MAX(0,-G11)+0.35*MAX(0,-H11)</x:f>
        <x:v>0.006999999999999999</x:v>
      </x:c>
      <x:c r="J11" s="47" t="s">
        <x:v>579</x:v>
      </x:c>
      <x:c r="K11" s="47" t="s">
        <x:v>580</x:v>
      </x:c>
    </x:row>
    <x:row r="12" ht="14.25" hidden="0" customHeight="1">
      <x:c r="A12" s="1" t="s">
        <x:v>583</x:v>
      </x:c>
      <x:c r="B12" s="1" t="s">
        <x:v>75</x:v>
      </x:c>
      <x:c r="C12" s="1" t="n">
        <x:v>0.08</x:v>
      </x:c>
      <x:c r="D12" s="10">
        <x:f aca="0">I12</x:f>
        <x:v>0.017499999999999998</x:v>
      </x:c>
      <x:c r="E12" s="1" t="s">
        <x:v>584</x:v>
      </x:c>
      <x:c r="F12" s="1" t="n">
        <x:v>-0.05</x:v>
      </x:c>
      <x:c r="G12" s="1" t="n">
        <x:v>0</x:v>
      </x:c>
      <x:c r="H12" s="1" t="n">
        <x:v>0.02</x:v>
      </x:c>
      <x:c r="I12" s="10">
        <x:f aca="0">0.35*MAX(0,-F12)+0.3*MAX(0,-G12)+0.35*MAX(0,-H12)</x:f>
        <x:v>0.017499999999999998</x:v>
      </x:c>
      <x:c r="J12" s="47" t="s">
        <x:v>579</x:v>
      </x:c>
      <x:c r="K12" s="47" t="s">
        <x:v>580</x:v>
      </x:c>
    </x:row>
    <x:row r="13" ht="14.25" hidden="0" customHeight="1">
      <x:c r="A13" s="1" t="s">
        <x:v>585</x:v>
      </x:c>
      <x:c r="B13" s="1" t="s">
        <x:v>77</x:v>
      </x:c>
      <x:c r="C13" s="1" t="n">
        <x:v>0.07</x:v>
      </x:c>
      <x:c r="D13" s="10">
        <x:f aca="0">I13</x:f>
        <x:v>0.019499999999999997</x:v>
      </x:c>
      <x:c r="E13" s="1" t="s">
        <x:v>586</x:v>
      </x:c>
      <x:c r="F13" s="1" t="n">
        <x:v>-0.01</x:v>
      </x:c>
      <x:c r="G13" s="1" t="n">
        <x:v>-0.03</x:v>
      </x:c>
      <x:c r="H13" s="1" t="n">
        <x:v>-0.02</x:v>
      </x:c>
      <x:c r="I13" s="10">
        <x:f aca="0">0.35*MAX(0,-F13)+0.3*MAX(0,-G13)+0.35*MAX(0,-H13)</x:f>
        <x:v>0.019499999999999997</x:v>
      </x:c>
      <x:c r="J13" s="47" t="s">
        <x:v>579</x:v>
      </x:c>
      <x:c r="K13" s="47" t="s">
        <x:v>580</x:v>
      </x:c>
    </x:row>
    <x:row r="14" ht="14.25" hidden="0" customHeight="1">
      <x:c r="A14" s="1" t="s">
        <x:v>587</x:v>
      </x:c>
      <x:c r="B14" s="1" t="s">
        <x:v>80</x:v>
      </x:c>
      <x:c r="C14" s="1" t="n">
        <x:v>0.05</x:v>
      </x:c>
      <x:c r="D14" s="10">
        <x:f aca="0">I14</x:f>
        <x:v>0.013499999999999998</x:v>
      </x:c>
      <x:c r="E14" s="1" t="s">
        <x:v>588</x:v>
      </x:c>
      <x:c r="F14" s="1" t="n">
        <x:v>-0.03</x:v>
      </x:c>
      <x:c r="G14" s="1" t="n">
        <x:v>-0.01</x:v>
      </x:c>
      <x:c r="H14" s="1" t="n">
        <x:v>0.01</x:v>
      </x:c>
      <x:c r="I14" s="10">
        <x:f aca="0">0.35*MAX(0,-F14)+0.3*MAX(0,-G14)+0.35*MAX(0,-H14)</x:f>
        <x:v>0.013499999999999998</x:v>
      </x:c>
      <x:c r="J14" s="47" t="s">
        <x:v>579</x:v>
      </x:c>
      <x:c r="K14" s="47" t="s">
        <x:v>580</x:v>
      </x:c>
    </x:row>
    <x:row r="15" ht="14.25" hidden="0" customHeight="1">
      <x:c r="A15" s="1" t="s">
        <x:v>589</x:v>
      </x:c>
      <x:c r="B15" s="1" t="s">
        <x:v>79</x:v>
      </x:c>
      <x:c r="C15" s="1" t="n">
        <x:v>0.03</x:v>
      </x:c>
      <x:c r="D15" s="10">
        <x:f aca="0">I15</x:f>
        <x:v>0.023499999999999997</x:v>
      </x:c>
      <x:c r="E15" s="1" t="s">
        <x:v>590</x:v>
      </x:c>
      <x:c r="F15" s="1" t="n">
        <x:v>-0.04</x:v>
      </x:c>
      <x:c r="G15" s="1" t="n">
        <x:v>-0.02</x:v>
      </x:c>
      <x:c r="H15" s="1" t="n">
        <x:v>-0.01</x:v>
      </x:c>
      <x:c r="I15" s="10">
        <x:f aca="0">0.35*MAX(0,-F15)+0.3*MAX(0,-G15)+0.35*MAX(0,-H15)</x:f>
        <x:v>0.023499999999999997</x:v>
      </x:c>
      <x:c r="J15" s="47" t="s">
        <x:v>579</x:v>
      </x:c>
      <x:c r="K15" s="47" t="s">
        <x:v>580</x:v>
      </x:c>
    </x:row>
    <x:row r="16" ht="14.25" hidden="0" customHeight="1">
      <x:c r="A16" s="1" t="s">
        <x:v>591</x:v>
      </x:c>
      <x:c r="B16" s="1" t="s">
        <x:v>81</x:v>
      </x:c>
      <x:c r="C16" s="1" t="n">
        <x:v>0.02</x:v>
      </x:c>
      <x:c r="D16" s="10">
        <x:f aca="0">I16</x:f>
        <x:v>0.009999999999999998</x:v>
      </x:c>
      <x:c r="E16" s="1" t="s">
        <x:v>592</x:v>
      </x:c>
      <x:c r="F16" s="1" t="n">
        <x:v>-0.02</x:v>
      </x:c>
      <x:c r="G16" s="1" t="n">
        <x:v>-0.01</x:v>
      </x:c>
      <x:c r="H16" s="1" t="n">
        <x:v>0</x:v>
      </x:c>
      <x:c r="I16" s="10">
        <x:f aca="0">0.35*MAX(0,-F16)+0.3*MAX(0,-G16)+0.35*MAX(0,-H16)</x:f>
        <x:v>0.009999999999999998</x:v>
      </x:c>
      <x:c r="J16" s="47" t="s">
        <x:v>579</x:v>
      </x:c>
      <x:c r="K16" s="47" t="s">
        <x:v>580</x:v>
      </x:c>
    </x:row>
    <x:row r="17" ht="13.5" hidden="0" customHeight="1"/>
    <x:row r="18" ht="13.5" hidden="0" customHeight="1"/>
    <x:row r="19" ht="14.25" hidden="0" customHeight="1">
      <x:c r="A19" s="9" t="s">
        <x:v>593</x:v>
      </x:c>
    </x:row>
    <x:row r="20" ht="14.25" hidden="0" customHeight="1">
      <x:c r="A20" s="9" t="s">
        <x:v>566</x:v>
      </x:c>
      <x:c r="B20" s="9" t="s">
        <x:v>479</x:v>
      </x:c>
      <x:c r="C20" s="9" t="s">
        <x:v>567</x:v>
      </x:c>
      <x:c r="D20" s="9" t="s">
        <x:v>568</x:v>
      </x:c>
      <x:c r="E20" s="9" t="s">
        <x:v>569</x:v>
      </x:c>
      <x:c r="F20" s="1" t="s">
        <x:v>570</x:v>
      </x:c>
      <x:c r="G20" s="1" t="s">
        <x:v>571</x:v>
      </x:c>
      <x:c r="H20" s="1" t="s">
        <x:v>572</x:v>
      </x:c>
      <x:c r="I20" s="1" t="s">
        <x:v>573</x:v>
      </x:c>
      <x:c r="J20" s="47" t="s">
        <x:v>574</x:v>
      </x:c>
      <x:c r="K20" s="47" t="s">
        <x:v>575</x:v>
      </x:c>
    </x:row>
    <x:row r="21" ht="14.25" hidden="0" customHeight="1">
      <x:c r="A21" s="1" t="s">
        <x:v>576</x:v>
      </x:c>
      <x:c r="B21" s="1" t="s">
        <x:v>577</x:v>
      </x:c>
      <x:c r="C21" s="1" t="n">
        <x:v>0.6</x:v>
      </x:c>
      <x:c r="D21" s="10">
        <x:f aca="0">I21</x:f>
        <x:v>0.0035738499999999995</x:v>
      </x:c>
      <x:c r="E21" s="1" t="s">
        <x:v>594</x:v>
      </x:c>
      <x:c r="F21" s="10" t="n">
        <x:v>0</x:v>
      </x:c>
      <x:c r="G21" s="10" t="n">
        <x:v>0</x:v>
      </x:c>
      <x:c r="H21" s="10" t="n">
        <x:v>-0.010211</x:v>
      </x:c>
      <x:c r="I21" s="10">
        <x:f aca="0">0.35*MAX(0,-F21)+0.3*MAX(0,-G21)+0.35*MAX(0,-H21)</x:f>
        <x:v>0.0035738499999999995</x:v>
      </x:c>
      <x:c r="J21" s="48" t="s">
        <x:v>579</x:v>
      </x:c>
      <x:c r="K21" s="48" t="s">
        <x:v>580</x:v>
      </x:c>
    </x:row>
    <x:row r="22" ht="14.25" hidden="0" customHeight="1">
      <x:c r="A22" s="1" t="s">
        <x:v>581</x:v>
      </x:c>
      <x:c r="B22" s="1" t="s">
        <x:v>78</x:v>
      </x:c>
      <x:c r="C22" s="1" t="n">
        <x:v>0.15</x:v>
      </x:c>
      <x:c r="D22" s="10">
        <x:f aca="0">I22</x:f>
        <x:v>0.010499999999999999</x:v>
      </x:c>
      <x:c r="E22" s="1" t="s">
        <x:v>595</x:v>
      </x:c>
      <x:c r="F22" s="1" t="n">
        <x:v>-0.015</x:v>
      </x:c>
      <x:c r="G22" s="1" t="n">
        <x:v>0</x:v>
      </x:c>
      <x:c r="H22" s="1" t="n">
        <x:v>-0.015</x:v>
      </x:c>
      <x:c r="I22" s="10">
        <x:f aca="0">0.35*MAX(0,-F22)+0.3*MAX(0,-G22)+0.35*MAX(0,-H22)</x:f>
        <x:v>0.010499999999999999</x:v>
      </x:c>
      <x:c r="J22" s="47" t="s">
        <x:v>579</x:v>
      </x:c>
      <x:c r="K22" s="47" t="s">
        <x:v>580</x:v>
      </x:c>
    </x:row>
    <x:row r="23" ht="14.25" hidden="0" customHeight="1">
      <x:c r="A23" s="1" t="s">
        <x:v>583</x:v>
      </x:c>
      <x:c r="B23" s="1" t="s">
        <x:v>75</x:v>
      </x:c>
      <x:c r="C23" s="1" t="n">
        <x:v>0.08</x:v>
      </x:c>
      <x:c r="D23" s="10" t="n">
        <x:f aca="0">I23</x:f>
        <x:v>0.0315</x:v>
      </x:c>
      <x:c r="E23" s="1" t="s">
        <x:v>596</x:v>
      </x:c>
      <x:c r="F23" s="1" t="n">
        <x:v>-0.08</x:v>
      </x:c>
      <x:c r="G23" s="1" t="n">
        <x:v>0</x:v>
      </x:c>
      <x:c r="H23" s="1" t="n">
        <x:v>-0.01</x:v>
      </x:c>
      <x:c r="I23" s="10" t="n">
        <x:f aca="0">0.35*MAX(0,-F23)+0.3*MAX(0,-G23)+0.35*MAX(0,-H23)</x:f>
        <x:v>0.0315</x:v>
      </x:c>
      <x:c r="J23" s="47" t="s">
        <x:v>579</x:v>
      </x:c>
      <x:c r="K23" s="47" t="s">
        <x:v>580</x:v>
      </x:c>
    </x:row>
    <x:row r="24" ht="14.25" hidden="0" customHeight="1">
      <x:c r="A24" s="1" t="s">
        <x:v>585</x:v>
      </x:c>
      <x:c r="B24" s="1" t="s">
        <x:v>77</x:v>
      </x:c>
      <x:c r="C24" s="1" t="n">
        <x:v>0.07</x:v>
      </x:c>
      <x:c r="D24" s="10" t="n">
        <x:f aca="0">I24</x:f>
        <x:v>0.0235</x:v>
      </x:c>
      <x:c r="E24" s="1" t="s">
        <x:v>597</x:v>
      </x:c>
      <x:c r="F24" s="1" t="n">
        <x:v>-0.01</x:v>
      </x:c>
      <x:c r="G24" s="1" t="n">
        <x:v>-0.02</x:v>
      </x:c>
      <x:c r="H24" s="1" t="n">
        <x:v>-0.04</x:v>
      </x:c>
      <x:c r="I24" s="10" t="n">
        <x:f aca="0">0.35*MAX(0,-F24)+0.3*MAX(0,-G24)+0.35*MAX(0,-H24)</x:f>
        <x:v>0.0235</x:v>
      </x:c>
      <x:c r="J24" s="47" t="s">
        <x:v>579</x:v>
      </x:c>
      <x:c r="K24" s="47" t="s">
        <x:v>580</x:v>
      </x:c>
    </x:row>
    <x:row r="25" ht="14.25" hidden="0" customHeight="1">
      <x:c r="A25" s="1" t="s">
        <x:v>587</x:v>
      </x:c>
      <x:c r="B25" s="1" t="s">
        <x:v>80</x:v>
      </x:c>
      <x:c r="C25" s="1" t="n">
        <x:v>0.05</x:v>
      </x:c>
      <x:c r="D25" s="10">
        <x:f aca="0">I25</x:f>
        <x:v>0.013499999999999998</x:v>
      </x:c>
      <x:c r="E25" s="1" t="s">
        <x:v>598</x:v>
      </x:c>
      <x:c r="F25" s="1" t="n">
        <x:v>-0.02</x:v>
      </x:c>
      <x:c r="G25" s="1" t="n">
        <x:v>-0.01</x:v>
      </x:c>
      <x:c r="H25" s="1" t="n">
        <x:v>-0.01</x:v>
      </x:c>
      <x:c r="I25" s="10">
        <x:f aca="0">0.35*MAX(0,-F25)+0.3*MAX(0,-G25)+0.35*MAX(0,-H25)</x:f>
        <x:v>0.013499999999999998</x:v>
      </x:c>
      <x:c r="J25" s="47" t="s">
        <x:v>579</x:v>
      </x:c>
      <x:c r="K25" s="47" t="s">
        <x:v>580</x:v>
      </x:c>
    </x:row>
    <x:row r="26" ht="14.25" hidden="0" customHeight="1">
      <x:c r="A26" s="1" t="s">
        <x:v>589</x:v>
      </x:c>
      <x:c r="B26" s="1" t="s">
        <x:v>79</x:v>
      </x:c>
      <x:c r="C26" s="1" t="n">
        <x:v>0.03</x:v>
      </x:c>
      <x:c r="D26" s="10" t="n">
        <x:f aca="0">I26</x:f>
        <x:v>0.02175</x:v>
      </x:c>
      <x:c r="E26" s="1" t="s">
        <x:v>599</x:v>
      </x:c>
      <x:c r="F26" s="1" t="n">
        <x:v>-0.03</x:v>
      </x:c>
      <x:c r="G26" s="1" t="n">
        <x:v>-0.02</x:v>
      </x:c>
      <x:c r="H26" s="1" t="n">
        <x:v>-0.015</x:v>
      </x:c>
      <x:c r="I26" s="10" t="n">
        <x:f aca="0">0.35*MAX(0,-F26)+0.3*MAX(0,-G26)+0.35*MAX(0,-H26)</x:f>
        <x:v>0.02175</x:v>
      </x:c>
      <x:c r="J26" s="47" t="s">
        <x:v>579</x:v>
      </x:c>
      <x:c r="K26" s="47" t="s">
        <x:v>580</x:v>
      </x:c>
    </x:row>
    <x:row r="27" ht="14.25" hidden="0" customHeight="1">
      <x:c r="A27" s="1" t="s">
        <x:v>591</x:v>
      </x:c>
      <x:c r="B27" s="1" t="s">
        <x:v>81</x:v>
      </x:c>
      <x:c r="C27" s="1" t="n">
        <x:v>0.02</x:v>
      </x:c>
      <x:c r="D27" s="10">
        <x:f aca="0">I27</x:f>
        <x:v>0.006999999999999999</x:v>
      </x:c>
      <x:c r="E27" s="1" t="s">
        <x:v>600</x:v>
      </x:c>
      <x:c r="F27" s="1" t="n">
        <x:v>-0.01</x:v>
      </x:c>
      <x:c r="G27" s="1" t="n">
        <x:v>0</x:v>
      </x:c>
      <x:c r="H27" s="1" t="n">
        <x:v>-0.01</x:v>
      </x:c>
      <x:c r="I27" s="10">
        <x:f aca="0">0.35*MAX(0,-F27)+0.3*MAX(0,-G27)+0.35*MAX(0,-H27)</x:f>
        <x:v>0.006999999999999999</x:v>
      </x:c>
      <x:c r="J27" s="47" t="s">
        <x:v>579</x:v>
      </x:c>
      <x:c r="K27" s="47" t="s">
        <x:v>580</x:v>
      </x:c>
    </x:row>
    <x:row r="28" ht="13.5" hidden="0" customHeight="1"/>
    <x:row r="29" ht="14.25" hidden="0" customHeight="1">
      <x:c r="A29" s="1" t="s">
        <x:v>601</x:v>
      </x:c>
    </x:row>
    <x:row r="30" ht="14.25" hidden="0" customHeight="1">
      <x:c r="A30" s="9" t="s">
        <x:v>602</x:v>
      </x:c>
    </x:row>
    <x:row r="31" ht="14.25" hidden="0" customHeight="1">
      <x:c r="A31" s="1" t="s">
        <x:v>603</x:v>
      </x:c>
      <x:c r="B31" s="1" t="s">
        <x:v>604</x:v>
      </x:c>
    </x:row>
  </x:sheetData>
  <x:mergeCells>
    <x:mergeCell ref="A1:H1"/>
  </x:mergeCells>
  <x:pageMargins left="0.7" right="0.7" top="0.75" bottom="0.75" header="0.3" footer="0.3"/>
</x:worksheet>
</file>

<file path=xl/worksheets/sheet13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sheetData>
    <x:row r="1" ht="14.25" hidden="0" customHeight="1">
      <x:c r="A1" s="26" t="s">
        <x:v>605</x:v>
      </x:c>
      <x:c r="B1" s="26"/>
      <x:c r="C1" s="26"/>
      <x:c r="D1" s="26"/>
      <x:c r="E1" s="26"/>
      <x:c r="F1" s="26"/>
      <x:c r="G1" s="26"/>
      <x:c r="H1" s="26"/>
      <x:c r="I1" s="26"/>
    </x:row>
    <x:row r="2" ht="13.5" hidden="0" customHeight="1"/>
    <x:row r="3" ht="14.25" hidden="0" customHeight="1">
      <x:c r="A3" s="1" t="s">
        <x:v>606</x:v>
      </x:c>
    </x:row>
    <x:row r="4" ht="13.5" hidden="0" customHeight="1"/>
    <x:row r="5" ht="14.25" hidden="0" customHeight="1">
      <x:c r="A5" s="9" t="s">
        <x:v>607</x:v>
      </x:c>
    </x:row>
    <x:row r="6" ht="14.25" hidden="0" customHeight="1">
      <x:c r="B6" s="9" t="s">
        <x:v>438</x:v>
      </x:c>
      <x:c r="C6" s="9" t="s">
        <x:v>428</x:v>
      </x:c>
      <x:c r="D6" s="9" t="s">
        <x:v>437</x:v>
      </x:c>
      <x:c r="E6" s="9" t="s">
        <x:v>439</x:v>
      </x:c>
      <x:c r="F6" s="9" t="s">
        <x:v>436</x:v>
      </x:c>
      <x:c r="G6" s="9" t="s">
        <x:v>538</x:v>
      </x:c>
      <x:c r="H6" s="9" t="s">
        <x:v>434</x:v>
      </x:c>
    </x:row>
    <x:row r="7" ht="14.25" hidden="0" customHeight="1">
      <x:c r="A7" s="9" t="s">
        <x:v>427</x:v>
      </x:c>
      <x:c r="B7" s="10" t="n">
        <x:f aca="0">TANH(Parameters!$B$24*SUMIFS(Impact_Input!$N:$N,Impact_Input!$B:$B,"A",Impact_Input!$C:$C,$A7,Impact_Input!$D:$D,B$6))</x:f>
        <x:v>0</x:v>
      </x:c>
      <x:c r="C7" s="10" t="n">
        <x:f aca="0">TANH(Parameters!$B$24*SUMIFS(Impact_Input!$N:$N,Impact_Input!$B:$B,"A",Impact_Input!$C:$C,$A7,Impact_Input!$D:$D,C$6))</x:f>
        <x:v>0</x:v>
      </x:c>
      <x:c r="D7" s="10" t="n">
        <x:f aca="0">TANH(Parameters!$B$24*SUMIFS(Impact_Input!$N:$N,Impact_Input!$B:$B,"A",Impact_Input!$C:$C,$A7,Impact_Input!$D:$D,D$6))</x:f>
        <x:v>0</x:v>
      </x:c>
      <x:c r="E7" s="10" t="n">
        <x:f aca="0">TANH(Parameters!$B$24*SUMIFS(Impact_Input!$N:$N,Impact_Input!$B:$B,"A",Impact_Input!$C:$C,$A7,Impact_Input!$D:$D,E$6))</x:f>
        <x:v>0</x:v>
      </x:c>
      <x:c r="F7" s="49">
        <x:f aca="0">TANH(Parameters!$B$24*SUMIFS(Impact_Input!$N:$N,Impact_Input!$B:$B,"A",Impact_Input!$C:$C,$A7,Impact_Input!$D:$D,F$6))</x:f>
        <x:v>0.2490078843274226</x:v>
      </x:c>
      <x:c r="G7" s="49">
        <x:f aca="0">TANH(Parameters!$B$24*SUMIFS(Impact_Input!$N:$N,Impact_Input!$B:$B,"A",Impact_Input!$C:$C,$A7,Impact_Input!$D:$D,G$6))</x:f>
        <x:v>0.1432598557931445</x:v>
      </x:c>
      <x:c r="H7" s="10" t="n">
        <x:f aca="0">TANH(Parameters!$B$24*SUMIFS(Impact_Input!$N:$N,Impact_Input!$B:$B,"A",Impact_Input!$C:$C,$A7,Impact_Input!$D:$D,H$6))</x:f>
        <x:v>0</x:v>
      </x:c>
    </x:row>
    <x:row r="8" ht="14.25" hidden="0" customHeight="1">
      <x:c r="A8" s="9" t="s">
        <x:v>429</x:v>
      </x:c>
      <x:c r="B8" s="49">
        <x:f aca="0">TANH(Parameters!$B$24*SUMIFS(Impact_Input!$N:$N,Impact_Input!$B:$B,"A",Impact_Input!$C:$C,$A8,Impact_Input!$D:$D,B$6))</x:f>
        <x:v>0.046162176234088866</x:v>
      </x:c>
      <x:c r="C8" s="10" t="n">
        <x:f aca="0">TANH(Parameters!$B$24*SUMIFS(Impact_Input!$N:$N,Impact_Input!$B:$B,"A",Impact_Input!$C:$C,$A8,Impact_Input!$D:$D,C$6))</x:f>
        <x:v>0</x:v>
      </x:c>
      <x:c r="D8" s="10" t="n">
        <x:f aca="0">TANH(Parameters!$B$24*SUMIFS(Impact_Input!$N:$N,Impact_Input!$B:$B,"A",Impact_Input!$C:$C,$A8,Impact_Input!$D:$D,D$6))</x:f>
        <x:v>0</x:v>
      </x:c>
      <x:c r="E8" s="10" t="n">
        <x:f aca="0">TANH(Parameters!$B$24*SUMIFS(Impact_Input!$N:$N,Impact_Input!$B:$B,"A",Impact_Input!$C:$C,$A8,Impact_Input!$D:$D,E$6))</x:f>
        <x:v>0</x:v>
      </x:c>
      <x:c r="F8" s="10" t="n">
        <x:f aca="0">TANH(Parameters!$B$24*SUMIFS(Impact_Input!$N:$N,Impact_Input!$B:$B,"A",Impact_Input!$C:$C,$A8,Impact_Input!$D:$D,F$6))</x:f>
        <x:v>0</x:v>
      </x:c>
      <x:c r="G8" s="10" t="n">
        <x:f aca="0">TANH(Parameters!$B$24*SUMIFS(Impact_Input!$N:$N,Impact_Input!$B:$B,"A",Impact_Input!$C:$C,$A8,Impact_Input!$D:$D,G$6))</x:f>
        <x:v>0</x:v>
      </x:c>
      <x:c r="H8" s="10" t="n">
        <x:f aca="0">TANH(Parameters!$B$24*SUMIFS(Impact_Input!$N:$N,Impact_Input!$B:$B,"A",Impact_Input!$C:$C,$A8,Impact_Input!$D:$D,H$6))</x:f>
        <x:v>0</x:v>
      </x:c>
    </x:row>
    <x:row r="9" ht="14.25" hidden="0" customHeight="1">
      <x:c r="A9" s="9" t="s">
        <x:v>430</x:v>
      </x:c>
      <x:c r="B9" s="50">
        <x:f aca="0">TANH(Parameters!$B$24*SUMIFS(Impact_Input!$N:$N,Impact_Input!$B:$B,"A",Impact_Input!$C:$C,$A9,Impact_Input!$D:$D,B$6))</x:f>
        <x:v>-0.01979527432216163</x:v>
      </x:c>
      <x:c r="C9" s="10" t="n">
        <x:f aca="0">TANH(Parameters!$B$24*SUMIFS(Impact_Input!$N:$N,Impact_Input!$B:$B,"A",Impact_Input!$C:$C,$A9,Impact_Input!$D:$D,C$6))</x:f>
        <x:v>0</x:v>
      </x:c>
      <x:c r="D9" s="50">
        <x:f aca="0">TANH(Parameters!$B$24*SUMIFS(Impact_Input!$N:$N,Impact_Input!$B:$B,"A",Impact_Input!$C:$C,$A9,Impact_Input!$D:$D,D$6))</x:f>
        <x:v>-0.08072568681553846</x:v>
      </x:c>
      <x:c r="E9" s="10" t="n">
        <x:f aca="0">TANH(Parameters!$B$24*SUMIFS(Impact_Input!$N:$N,Impact_Input!$B:$B,"A",Impact_Input!$C:$C,$A9,Impact_Input!$D:$D,E$6))</x:f>
        <x:v>0</x:v>
      </x:c>
      <x:c r="F9" s="10" t="n">
        <x:f aca="0">TANH(Parameters!$B$24*SUMIFS(Impact_Input!$N:$N,Impact_Input!$B:$B,"A",Impact_Input!$C:$C,$A9,Impact_Input!$D:$D,F$6))</x:f>
        <x:v>0</x:v>
      </x:c>
      <x:c r="G9" s="10" t="n">
        <x:f aca="0">TANH(Parameters!$B$24*SUMIFS(Impact_Input!$N:$N,Impact_Input!$B:$B,"A",Impact_Input!$C:$C,$A9,Impact_Input!$D:$D,G$6))</x:f>
        <x:v>0</x:v>
      </x:c>
      <x:c r="H9" s="10" t="n">
        <x:f aca="0">TANH(Parameters!$B$24*SUMIFS(Impact_Input!$N:$N,Impact_Input!$B:$B,"A",Impact_Input!$C:$C,$A9,Impact_Input!$D:$D,H$6))</x:f>
        <x:v>0</x:v>
      </x:c>
    </x:row>
    <x:row r="10" ht="14.25" hidden="0" customHeight="1">
      <x:c r="A10" s="9" t="s">
        <x:v>431</x:v>
      </x:c>
      <x:c r="B10" s="50">
        <x:f aca="0">TANH(Parameters!$B$24*SUMIFS(Impact_Input!$N:$N,Impact_Input!$B:$B,"A",Impact_Input!$C:$C,$A10,Impact_Input!$D:$D,B$6))</x:f>
        <x:v>-0.08556943629589667</x:v>
      </x:c>
      <x:c r="C10" s="10" t="n">
        <x:f aca="0">TANH(Parameters!$B$24*SUMIFS(Impact_Input!$N:$N,Impact_Input!$B:$B,"A",Impact_Input!$C:$C,$A10,Impact_Input!$D:$D,C$6))</x:f>
        <x:v>0</x:v>
      </x:c>
      <x:c r="D10" s="10" t="n">
        <x:f aca="0">TANH(Parameters!$B$24*SUMIFS(Impact_Input!$N:$N,Impact_Input!$B:$B,"A",Impact_Input!$C:$C,$A10,Impact_Input!$D:$D,D$6))</x:f>
        <x:v>0</x:v>
      </x:c>
      <x:c r="E10" s="10" t="n">
        <x:f aca="0">TANH(Parameters!$B$24*SUMIFS(Impact_Input!$N:$N,Impact_Input!$B:$B,"A",Impact_Input!$C:$C,$A10,Impact_Input!$D:$D,E$6))</x:f>
        <x:v>0</x:v>
      </x:c>
      <x:c r="F10" s="10" t="n">
        <x:f aca="0">TANH(Parameters!$B$24*SUMIFS(Impact_Input!$N:$N,Impact_Input!$B:$B,"A",Impact_Input!$C:$C,$A10,Impact_Input!$D:$D,F$6))</x:f>
        <x:v>0</x:v>
      </x:c>
      <x:c r="G10" s="10" t="n">
        <x:f aca="0">TANH(Parameters!$B$24*SUMIFS(Impact_Input!$N:$N,Impact_Input!$B:$B,"A",Impact_Input!$C:$C,$A10,Impact_Input!$D:$D,G$6))</x:f>
        <x:v>0</x:v>
      </x:c>
      <x:c r="H10" s="10" t="n">
        <x:f aca="0">TANH(Parameters!$B$24*SUMIFS(Impact_Input!$N:$N,Impact_Input!$B:$B,"A",Impact_Input!$C:$C,$A10,Impact_Input!$D:$D,H$6))</x:f>
        <x:v>0</x:v>
      </x:c>
    </x:row>
    <x:row r="11" ht="14.25" hidden="0" customHeight="1">
      <x:c r="A11" s="9" t="s">
        <x:v>432</x:v>
      </x:c>
      <x:c r="B11" s="10" t="n">
        <x:f aca="0">TANH(Parameters!$B$24*SUMIFS(Impact_Input!$N:$N,Impact_Input!$B:$B,"A",Impact_Input!$C:$C,$A11,Impact_Input!$D:$D,B$6))</x:f>
        <x:v>0</x:v>
      </x:c>
      <x:c r="C11" s="10" t="n">
        <x:f aca="0">TANH(Parameters!$B$24*SUMIFS(Impact_Input!$N:$N,Impact_Input!$B:$B,"A",Impact_Input!$C:$C,$A11,Impact_Input!$D:$D,C$6))</x:f>
        <x:v>0</x:v>
      </x:c>
      <x:c r="D11" s="10" t="n">
        <x:f aca="0">TANH(Parameters!$B$24*SUMIFS(Impact_Input!$N:$N,Impact_Input!$B:$B,"A",Impact_Input!$C:$C,$A11,Impact_Input!$D:$D,D$6))</x:f>
        <x:v>0</x:v>
      </x:c>
      <x:c r="E11" s="10" t="n">
        <x:f aca="0">TANH(Parameters!$B$24*SUMIFS(Impact_Input!$N:$N,Impact_Input!$B:$B,"A",Impact_Input!$C:$C,$A11,Impact_Input!$D:$D,E$6))</x:f>
        <x:v>0</x:v>
      </x:c>
      <x:c r="F11" s="10" t="n">
        <x:f aca="0">TANH(Parameters!$B$24*SUMIFS(Impact_Input!$N:$N,Impact_Input!$B:$B,"A",Impact_Input!$C:$C,$A11,Impact_Input!$D:$D,F$6))</x:f>
        <x:v>0</x:v>
      </x:c>
      <x:c r="G11" s="10" t="n">
        <x:f aca="0">TANH(Parameters!$B$24*SUMIFS(Impact_Input!$N:$N,Impact_Input!$B:$B,"A",Impact_Input!$C:$C,$A11,Impact_Input!$D:$D,G$6))</x:f>
        <x:v>0</x:v>
      </x:c>
      <x:c r="H11" s="10" t="n">
        <x:f aca="0">TANH(Parameters!$B$24*SUMIFS(Impact_Input!$N:$N,Impact_Input!$B:$B,"A",Impact_Input!$C:$C,$A11,Impact_Input!$D:$D,H$6))</x:f>
        <x:v>0</x:v>
      </x:c>
    </x:row>
    <x:row r="12" ht="14.25" hidden="0" customHeight="1">
      <x:c r="A12" s="9" t="s">
        <x:v>433</x:v>
      </x:c>
      <x:c r="B12" s="10" t="n">
        <x:f aca="0">TANH(Parameters!$B$24*SUMIFS(Impact_Input!$N:$N,Impact_Input!$B:$B,"A",Impact_Input!$C:$C,$A12,Impact_Input!$D:$D,B$6))</x:f>
        <x:v>0</x:v>
      </x:c>
      <x:c r="C12" s="10" t="n">
        <x:f aca="0">TANH(Parameters!$B$24*SUMIFS(Impact_Input!$N:$N,Impact_Input!$B:$B,"A",Impact_Input!$C:$C,$A12,Impact_Input!$D:$D,C$6))</x:f>
        <x:v>0</x:v>
      </x:c>
      <x:c r="D12" s="10" t="n">
        <x:f aca="0">TANH(Parameters!$B$24*SUMIFS(Impact_Input!$N:$N,Impact_Input!$B:$B,"A",Impact_Input!$C:$C,$A12,Impact_Input!$D:$D,D$6))</x:f>
        <x:v>0</x:v>
      </x:c>
      <x:c r="E12" s="10" t="n">
        <x:f aca="0">TANH(Parameters!$B$24*SUMIFS(Impact_Input!$N:$N,Impact_Input!$B:$B,"A",Impact_Input!$C:$C,$A12,Impact_Input!$D:$D,E$6))</x:f>
        <x:v>0</x:v>
      </x:c>
      <x:c r="F12" s="10" t="n">
        <x:f aca="0">TANH(Parameters!$B$24*SUMIFS(Impact_Input!$N:$N,Impact_Input!$B:$B,"A",Impact_Input!$C:$C,$A12,Impact_Input!$D:$D,F$6))</x:f>
        <x:v>0</x:v>
      </x:c>
      <x:c r="G12" s="10" t="n">
        <x:f aca="0">TANH(Parameters!$B$24*SUMIFS(Impact_Input!$N:$N,Impact_Input!$B:$B,"A",Impact_Input!$C:$C,$A12,Impact_Input!$D:$D,G$6))</x:f>
        <x:v>0</x:v>
      </x:c>
      <x:c r="H12" s="10" t="n">
        <x:f aca="0">TANH(Parameters!$B$24*SUMIFS(Impact_Input!$N:$N,Impact_Input!$B:$B,"A",Impact_Input!$C:$C,$A12,Impact_Input!$D:$D,H$6))</x:f>
        <x:v>0</x:v>
      </x:c>
    </x:row>
    <x:row r="13" ht="14.25" hidden="0" customHeight="1">
      <x:c r="A13" s="9" t="s">
        <x:v>435</x:v>
      </x:c>
      <x:c r="B13" s="10" t="n">
        <x:f aca="0">TANH(Parameters!$B$24*SUMIFS(Impact_Input!$N:$N,Impact_Input!$B:$B,"A",Impact_Input!$C:$C,$A13,Impact_Input!$D:$D,B$6))</x:f>
        <x:v>0</x:v>
      </x:c>
      <x:c r="C13" s="10" t="n">
        <x:f aca="0">TANH(Parameters!$B$24*SUMIFS(Impact_Input!$N:$N,Impact_Input!$B:$B,"A",Impact_Input!$C:$C,$A13,Impact_Input!$D:$D,C$6))</x:f>
        <x:v>0</x:v>
      </x:c>
      <x:c r="D13" s="10" t="n">
        <x:f aca="0">TANH(Parameters!$B$24*SUMIFS(Impact_Input!$N:$N,Impact_Input!$B:$B,"A",Impact_Input!$C:$C,$A13,Impact_Input!$D:$D,D$6))</x:f>
        <x:v>0</x:v>
      </x:c>
      <x:c r="E13" s="10" t="n">
        <x:f aca="0">TANH(Parameters!$B$24*SUMIFS(Impact_Input!$N:$N,Impact_Input!$B:$B,"A",Impact_Input!$C:$C,$A13,Impact_Input!$D:$D,E$6))</x:f>
        <x:v>0</x:v>
      </x:c>
      <x:c r="F13" s="10" t="n">
        <x:f aca="0">TANH(Parameters!$B$24*SUMIFS(Impact_Input!$N:$N,Impact_Input!$B:$B,"A",Impact_Input!$C:$C,$A13,Impact_Input!$D:$D,F$6))</x:f>
        <x:v>0</x:v>
      </x:c>
      <x:c r="G13" s="10" t="n">
        <x:f aca="0">TANH(Parameters!$B$24*SUMIFS(Impact_Input!$N:$N,Impact_Input!$B:$B,"A",Impact_Input!$C:$C,$A13,Impact_Input!$D:$D,G$6))</x:f>
        <x:v>0</x:v>
      </x:c>
      <x:c r="H13" s="49">
        <x:f aca="0">TANH(Parameters!$B$24*SUMIFS(Impact_Input!$N:$N,Impact_Input!$B:$B,"A",Impact_Input!$C:$C,$A13,Impact_Input!$D:$D,H$6))</x:f>
        <x:v>0.01531651795735988</x:v>
      </x:c>
    </x:row>
    <x:row r="14" ht="13.5" hidden="0" customHeight="1"/>
    <x:row r="15" ht="13.5" hidden="0" customHeight="1"/>
    <x:row r="16" ht="14.25" hidden="0" customHeight="1">
      <x:c r="A16" s="9" t="s">
        <x:v>608</x:v>
      </x:c>
    </x:row>
    <x:row r="17" ht="14.25" hidden="0" customHeight="1">
      <x:c r="B17" s="9" t="s">
        <x:v>438</x:v>
      </x:c>
      <x:c r="C17" s="9" t="s">
        <x:v>428</x:v>
      </x:c>
      <x:c r="D17" s="9" t="s">
        <x:v>437</x:v>
      </x:c>
      <x:c r="E17" s="9" t="s">
        <x:v>439</x:v>
      </x:c>
      <x:c r="F17" s="9" t="s">
        <x:v>436</x:v>
      </x:c>
      <x:c r="G17" s="9" t="s">
        <x:v>538</x:v>
      </x:c>
      <x:c r="H17" s="9" t="s">
        <x:v>434</x:v>
      </x:c>
    </x:row>
    <x:row r="18" ht="14.25" hidden="0" customHeight="1">
      <x:c r="A18" s="9" t="s">
        <x:v>427</x:v>
      </x:c>
      <x:c r="B18" s="10" t="n">
        <x:f aca="0">TANH(Parameters!$B$24*SUMIFS(Impact_Input!$N:$N,Impact_Input!$B:$B,"B",Impact_Input!$C:$C,$A18,Impact_Input!$D:$D,B$17))</x:f>
        <x:v>0</x:v>
      </x:c>
      <x:c r="C18" s="10" t="n">
        <x:f aca="0">TANH(Parameters!$B$24*SUMIFS(Impact_Input!$N:$N,Impact_Input!$B:$B,"B",Impact_Input!$C:$C,$A18,Impact_Input!$D:$D,C$17))</x:f>
        <x:v>0</x:v>
      </x:c>
      <x:c r="D18" s="10" t="n">
        <x:f aca="0">TANH(Parameters!$B$24*SUMIFS(Impact_Input!$N:$N,Impact_Input!$B:$B,"B",Impact_Input!$C:$C,$A18,Impact_Input!$D:$D,D$17))</x:f>
        <x:v>0</x:v>
      </x:c>
      <x:c r="E18" s="10" t="n">
        <x:f aca="0">TANH(Parameters!$B$24*SUMIFS(Impact_Input!$N:$N,Impact_Input!$B:$B,"B",Impact_Input!$C:$C,$A18,Impact_Input!$D:$D,E$17))</x:f>
        <x:v>0</x:v>
      </x:c>
      <x:c r="F18" s="50">
        <x:f aca="0">TANH(Parameters!$B$24*SUMIFS(Impact_Input!$N:$N,Impact_Input!$B:$B,"B",Impact_Input!$C:$C,$A18,Impact_Input!$D:$D,F$17))</x:f>
        <x:v>-0.046333567670633624</x:v>
      </x:c>
      <x:c r="G18" s="10" t="n">
        <x:f aca="0">TANH(Parameters!$B$24*SUMIFS(Impact_Input!$N:$N,Impact_Input!$B:$B,"B",Impact_Input!$C:$C,$A18,Impact_Input!$D:$D,G$17))</x:f>
        <x:v>0</x:v>
      </x:c>
      <x:c r="H18" s="10" t="n">
        <x:f aca="0">TANH(Parameters!$B$24*SUMIFS(Impact_Input!$N:$N,Impact_Input!$B:$B,"B",Impact_Input!$C:$C,$A18,Impact_Input!$D:$D,H$17))</x:f>
        <x:v>0</x:v>
      </x:c>
    </x:row>
    <x:row r="19" ht="14.25" hidden="0" customHeight="1">
      <x:c r="A19" s="9" t="s">
        <x:v>429</x:v>
      </x:c>
      <x:c r="B19" s="50">
        <x:f aca="0">TANH(Parameters!$B$24*SUMIFS(Impact_Input!$N:$N,Impact_Input!$B:$B,"B",Impact_Input!$C:$C,$A19,Impact_Input!$D:$D,B$17))</x:f>
        <x:v>-0.01847590043753792</x:v>
      </x:c>
      <x:c r="C19" s="10" t="n">
        <x:f aca="0">TANH(Parameters!$B$24*SUMIFS(Impact_Input!$N:$N,Impact_Input!$B:$B,"B",Impact_Input!$C:$C,$A19,Impact_Input!$D:$D,C$17))</x:f>
        <x:v>0</x:v>
      </x:c>
      <x:c r="D19" s="10" t="n">
        <x:f aca="0">TANH(Parameters!$B$24*SUMIFS(Impact_Input!$N:$N,Impact_Input!$B:$B,"B",Impact_Input!$C:$C,$A19,Impact_Input!$D:$D,D$17))</x:f>
        <x:v>0</x:v>
      </x:c>
      <x:c r="E19" s="10" t="n">
        <x:f aca="0">TANH(Parameters!$B$24*SUMIFS(Impact_Input!$N:$N,Impact_Input!$B:$B,"B",Impact_Input!$C:$C,$A19,Impact_Input!$D:$D,E$17))</x:f>
        <x:v>0</x:v>
      </x:c>
      <x:c r="F19" s="10" t="n">
        <x:f aca="0">TANH(Parameters!$B$24*SUMIFS(Impact_Input!$N:$N,Impact_Input!$B:$B,"B",Impact_Input!$C:$C,$A19,Impact_Input!$D:$D,F$17))</x:f>
        <x:v>0</x:v>
      </x:c>
      <x:c r="G19" s="10" t="n">
        <x:f aca="0">TANH(Parameters!$B$24*SUMIFS(Impact_Input!$N:$N,Impact_Input!$B:$B,"B",Impact_Input!$C:$C,$A19,Impact_Input!$D:$D,G$17))</x:f>
        <x:v>0</x:v>
      </x:c>
      <x:c r="H19" s="10" t="n">
        <x:f aca="0">TANH(Parameters!$B$24*SUMIFS(Impact_Input!$N:$N,Impact_Input!$B:$B,"B",Impact_Input!$C:$C,$A19,Impact_Input!$D:$D,H$17))</x:f>
        <x:v>0</x:v>
      </x:c>
    </x:row>
    <x:row r="20" ht="14.25" hidden="0" customHeight="1">
      <x:c r="A20" s="9" t="s">
        <x:v>430</x:v>
      </x:c>
      <x:c r="B20" s="49">
        <x:f aca="0">TANH(Parameters!$B$24*SUMIFS(Impact_Input!$N:$N,Impact_Input!$B:$B,"B",Impact_Input!$C:$C,$A20,Impact_Input!$D:$D,B$17))</x:f>
        <x:v>0.013197807340577457</x:v>
      </x:c>
      <x:c r="C20" s="10" t="n">
        <x:f aca="0">TANH(Parameters!$B$24*SUMIFS(Impact_Input!$N:$N,Impact_Input!$B:$B,"B",Impact_Input!$C:$C,$A20,Impact_Input!$D:$D,C$17))</x:f>
        <x:v>0</x:v>
      </x:c>
      <x:c r="D20" s="49">
        <x:f aca="0">TANH(Parameters!$B$24*SUMIFS(Impact_Input!$N:$N,Impact_Input!$B:$B,"B",Impact_Input!$C:$C,$A20,Impact_Input!$D:$D,D$17))</x:f>
        <x:v>0.06151557221350915</x:v>
      </x:c>
      <x:c r="E20" s="10" t="n">
        <x:f aca="0">TANH(Parameters!$B$24*SUMIFS(Impact_Input!$N:$N,Impact_Input!$B:$B,"B",Impact_Input!$C:$C,$A20,Impact_Input!$D:$D,E$17))</x:f>
        <x:v>0</x:v>
      </x:c>
      <x:c r="F20" s="10" t="n">
        <x:f aca="0">TANH(Parameters!$B$24*SUMIFS(Impact_Input!$N:$N,Impact_Input!$B:$B,"B",Impact_Input!$C:$C,$A20,Impact_Input!$D:$D,F$17))</x:f>
        <x:v>0</x:v>
      </x:c>
      <x:c r="G20" s="10" t="n">
        <x:f aca="0">TANH(Parameters!$B$24*SUMIFS(Impact_Input!$N:$N,Impact_Input!$B:$B,"B",Impact_Input!$C:$C,$A20,Impact_Input!$D:$D,G$17))</x:f>
        <x:v>0</x:v>
      </x:c>
      <x:c r="H20" s="10" t="n">
        <x:f aca="0">TANH(Parameters!$B$24*SUMIFS(Impact_Input!$N:$N,Impact_Input!$B:$B,"B",Impact_Input!$C:$C,$A20,Impact_Input!$D:$D,H$17))</x:f>
        <x:v>0</x:v>
      </x:c>
    </x:row>
    <x:row r="21" ht="14.25" hidden="0" customHeight="1">
      <x:c r="A21" s="9" t="s">
        <x:v>431</x:v>
      </x:c>
      <x:c r="B21" s="49">
        <x:f aca="0">TANH(Parameters!$B$24*SUMIFS(Impact_Input!$N:$N,Impact_Input!$B:$B,"B",Impact_Input!$C:$C,$A21,Impact_Input!$D:$D,B$17))</x:f>
        <x:v>0.010211455619172161</x:v>
      </x:c>
      <x:c r="C21" s="10" t="n">
        <x:f aca="0">TANH(Parameters!$B$24*SUMIFS(Impact_Input!$N:$N,Impact_Input!$B:$B,"B",Impact_Input!$C:$C,$A21,Impact_Input!$D:$D,C$17))</x:f>
        <x:v>0</x:v>
      </x:c>
      <x:c r="D21" s="10" t="n">
        <x:f aca="0">TANH(Parameters!$B$24*SUMIFS(Impact_Input!$N:$N,Impact_Input!$B:$B,"B",Impact_Input!$C:$C,$A21,Impact_Input!$D:$D,D$17))</x:f>
        <x:v>0</x:v>
      </x:c>
      <x:c r="E21" s="10" t="n">
        <x:f aca="0">TANH(Parameters!$B$24*SUMIFS(Impact_Input!$N:$N,Impact_Input!$B:$B,"B",Impact_Input!$C:$C,$A21,Impact_Input!$D:$D,E$17))</x:f>
        <x:v>0</x:v>
      </x:c>
      <x:c r="F21" s="10" t="n">
        <x:f aca="0">TANH(Parameters!$B$24*SUMIFS(Impact_Input!$N:$N,Impact_Input!$B:$B,"B",Impact_Input!$C:$C,$A21,Impact_Input!$D:$D,F$17))</x:f>
        <x:v>0</x:v>
      </x:c>
      <x:c r="G21" s="10" t="n">
        <x:f aca="0">TANH(Parameters!$B$24*SUMIFS(Impact_Input!$N:$N,Impact_Input!$B:$B,"B",Impact_Input!$C:$C,$A21,Impact_Input!$D:$D,G$17))</x:f>
        <x:v>0</x:v>
      </x:c>
      <x:c r="H21" s="10" t="n">
        <x:f aca="0">TANH(Parameters!$B$24*SUMIFS(Impact_Input!$N:$N,Impact_Input!$B:$B,"B",Impact_Input!$C:$C,$A21,Impact_Input!$D:$D,H$17))</x:f>
        <x:v>0</x:v>
      </x:c>
    </x:row>
    <x:row r="22" ht="14.25" hidden="0" customHeight="1">
      <x:c r="A22" s="9" t="s">
        <x:v>432</x:v>
      </x:c>
      <x:c r="B22" s="10" t="n">
        <x:f aca="0">TANH(Parameters!$B$24*SUMIFS(Impact_Input!$N:$N,Impact_Input!$B:$B,"B",Impact_Input!$C:$C,$A22,Impact_Input!$D:$D,B$17))</x:f>
        <x:v>0</x:v>
      </x:c>
      <x:c r="C22" s="10" t="n">
        <x:f aca="0">TANH(Parameters!$B$24*SUMIFS(Impact_Input!$N:$N,Impact_Input!$B:$B,"B",Impact_Input!$C:$C,$A22,Impact_Input!$D:$D,C$17))</x:f>
        <x:v>0</x:v>
      </x:c>
      <x:c r="D22" s="10" t="n">
        <x:f aca="0">TANH(Parameters!$B$24*SUMIFS(Impact_Input!$N:$N,Impact_Input!$B:$B,"B",Impact_Input!$C:$C,$A22,Impact_Input!$D:$D,D$17))</x:f>
        <x:v>0</x:v>
      </x:c>
      <x:c r="E22" s="10" t="n">
        <x:f aca="0">TANH(Parameters!$B$24*SUMIFS(Impact_Input!$N:$N,Impact_Input!$B:$B,"B",Impact_Input!$C:$C,$A22,Impact_Input!$D:$D,E$17))</x:f>
        <x:v>0</x:v>
      </x:c>
      <x:c r="F22" s="10" t="n">
        <x:f aca="0">TANH(Parameters!$B$24*SUMIFS(Impact_Input!$N:$N,Impact_Input!$B:$B,"B",Impact_Input!$C:$C,$A22,Impact_Input!$D:$D,F$17))</x:f>
        <x:v>0</x:v>
      </x:c>
      <x:c r="G22" s="10" t="n">
        <x:f aca="0">TANH(Parameters!$B$24*SUMIFS(Impact_Input!$N:$N,Impact_Input!$B:$B,"B",Impact_Input!$C:$C,$A22,Impact_Input!$D:$D,G$17))</x:f>
        <x:v>0</x:v>
      </x:c>
      <x:c r="H22" s="10" t="n">
        <x:f aca="0">TANH(Parameters!$B$24*SUMIFS(Impact_Input!$N:$N,Impact_Input!$B:$B,"B",Impact_Input!$C:$C,$A22,Impact_Input!$D:$D,H$17))</x:f>
        <x:v>0</x:v>
      </x:c>
    </x:row>
    <x:row r="23" ht="14.25" hidden="0" customHeight="1">
      <x:c r="A23" s="9" t="s">
        <x:v>433</x:v>
      </x:c>
      <x:c r="B23" s="10" t="n">
        <x:f aca="0">TANH(Parameters!$B$24*SUMIFS(Impact_Input!$N:$N,Impact_Input!$B:$B,"B",Impact_Input!$C:$C,$A23,Impact_Input!$D:$D,B$17))</x:f>
        <x:v>0</x:v>
      </x:c>
      <x:c r="C23" s="10" t="n">
        <x:f aca="0">TANH(Parameters!$B$24*SUMIFS(Impact_Input!$N:$N,Impact_Input!$B:$B,"B",Impact_Input!$C:$C,$A23,Impact_Input!$D:$D,C$17))</x:f>
        <x:v>0</x:v>
      </x:c>
      <x:c r="D23" s="10" t="n">
        <x:f aca="0">TANH(Parameters!$B$24*SUMIFS(Impact_Input!$N:$N,Impact_Input!$B:$B,"B",Impact_Input!$C:$C,$A23,Impact_Input!$D:$D,D$17))</x:f>
        <x:v>0</x:v>
      </x:c>
      <x:c r="E23" s="10" t="n">
        <x:f aca="0">TANH(Parameters!$B$24*SUMIFS(Impact_Input!$N:$N,Impact_Input!$B:$B,"B",Impact_Input!$C:$C,$A23,Impact_Input!$D:$D,E$17))</x:f>
        <x:v>0</x:v>
      </x:c>
      <x:c r="F23" s="10" t="n">
        <x:f aca="0">TANH(Parameters!$B$24*SUMIFS(Impact_Input!$N:$N,Impact_Input!$B:$B,"B",Impact_Input!$C:$C,$A23,Impact_Input!$D:$D,F$17))</x:f>
        <x:v>0</x:v>
      </x:c>
      <x:c r="G23" s="10" t="n">
        <x:f aca="0">TANH(Parameters!$B$24*SUMIFS(Impact_Input!$N:$N,Impact_Input!$B:$B,"B",Impact_Input!$C:$C,$A23,Impact_Input!$D:$D,G$17))</x:f>
        <x:v>0</x:v>
      </x:c>
      <x:c r="H23" s="10" t="n">
        <x:f aca="0">TANH(Parameters!$B$24*SUMIFS(Impact_Input!$N:$N,Impact_Input!$B:$B,"B",Impact_Input!$C:$C,$A23,Impact_Input!$D:$D,H$17))</x:f>
        <x:v>0</x:v>
      </x:c>
    </x:row>
    <x:row r="24" ht="14.25" hidden="0" customHeight="1">
      <x:c r="A24" s="9" t="s">
        <x:v>435</x:v>
      </x:c>
      <x:c r="B24" s="10" t="n">
        <x:f aca="0">TANH(Parameters!$B$24*SUMIFS(Impact_Input!$N:$N,Impact_Input!$B:$B,"B",Impact_Input!$C:$C,$A24,Impact_Input!$D:$D,B$17))</x:f>
        <x:v>0</x:v>
      </x:c>
      <x:c r="C24" s="10" t="n">
        <x:f aca="0">TANH(Parameters!$B$24*SUMIFS(Impact_Input!$N:$N,Impact_Input!$B:$B,"B",Impact_Input!$C:$C,$A24,Impact_Input!$D:$D,C$17))</x:f>
        <x:v>0</x:v>
      </x:c>
      <x:c r="D24" s="10" t="n">
        <x:f aca="0">TANH(Parameters!$B$24*SUMIFS(Impact_Input!$N:$N,Impact_Input!$B:$B,"B",Impact_Input!$C:$C,$A24,Impact_Input!$D:$D,D$17))</x:f>
        <x:v>0</x:v>
      </x:c>
      <x:c r="E24" s="10" t="n">
        <x:f aca="0">TANH(Parameters!$B$24*SUMIFS(Impact_Input!$N:$N,Impact_Input!$B:$B,"B",Impact_Input!$C:$C,$A24,Impact_Input!$D:$D,E$17))</x:f>
        <x:v>0</x:v>
      </x:c>
      <x:c r="F24" s="10" t="n">
        <x:f aca="0">TANH(Parameters!$B$24*SUMIFS(Impact_Input!$N:$N,Impact_Input!$B:$B,"B",Impact_Input!$C:$C,$A24,Impact_Input!$D:$D,F$17))</x:f>
        <x:v>0</x:v>
      </x:c>
      <x:c r="G24" s="10" t="n">
        <x:f aca="0">TANH(Parameters!$B$24*SUMIFS(Impact_Input!$N:$N,Impact_Input!$B:$B,"B",Impact_Input!$C:$C,$A24,Impact_Input!$D:$D,G$17))</x:f>
        <x:v>0</x:v>
      </x:c>
      <x:c r="H24" s="50">
        <x:f aca="0">TANH(Parameters!$B$24*SUMIFS(Impact_Input!$N:$N,Impact_Input!$B:$B,"B",Impact_Input!$C:$C,$A24,Impact_Input!$D:$D,H$17))</x:f>
        <x:v>-0.010211455619172184</x:v>
      </x:c>
    </x:row>
  </x:sheetData>
  <x:mergeCells>
    <x:mergeCell ref="A1:I1"/>
  </x:mergeCells>
  <x:pageMargins left="0.7" right="0.7" top="0.75" bottom="0.75" header="0.3" footer="0.3"/>
</x:worksheet>
</file>

<file path=xl/worksheets/sheet14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cols>
    <x:col min="1" max="1" width="14" hidden="0" customWidth="1"/>
    <x:col min="2" max="2" width="22" hidden="0" customWidth="1"/>
    <x:col min="3" max="3" width="14" hidden="0" customWidth="1"/>
    <x:col min="4" max="5" width="12" hidden="0" customWidth="1"/>
    <x:col min="6" max="7" width="10" hidden="0" customWidth="1"/>
    <x:col min="8" max="9" width="28" hidden="0" customWidth="1"/>
  </x:cols>
  <x:sheetData>
    <x:row r="1" ht="14.25" hidden="0" customHeight="1">
      <x:c r="A1" s="51" t="s">
        <x:v>609</x:v>
      </x:c>
      <x:c r="B1" s="51"/>
      <x:c r="C1" s="51"/>
      <x:c r="D1" s="51"/>
      <x:c r="E1" s="51"/>
      <x:c r="F1" s="51"/>
      <x:c r="G1" s="51"/>
      <x:c r="H1" s="51"/>
      <x:c r="I1" s="51"/>
      <x:c r="J1" s="51"/>
    </x:row>
    <x:row r="2" ht="13.5" hidden="0" customHeight="1"/>
    <x:row r="3" ht="14.25" hidden="0" customHeight="1">
      <x:c r="A3" s="1" t="s">
        <x:v>610</x:v>
      </x:c>
    </x:row>
    <x:row r="4" ht="14.25" hidden="0" customHeight="1">
      <x:c r="A4" s="1" t="s">
        <x:v>611</x:v>
      </x:c>
    </x:row>
    <x:row r="5" ht="13.5" hidden="0" customHeight="1">
      <x:c r="A5" s="1" t="s">
        <x:v>612</x:v>
      </x:c>
    </x:row>
    <x:row r="6" ht="14.25" hidden="0" customHeight="1">
      <x:c r="A6" s="9" t="s">
        <x:v>613</x:v>
      </x:c>
      <x:c r="H6" s="52" t="s">
        <x:v>614</x:v>
      </x:c>
      <x:c r="I6" s="52"/>
    </x:row>
    <x:row r="7" ht="14.25" hidden="0" customHeight="1">
      <x:c r="A7" s="12" t="s">
        <x:v>57</x:v>
      </x:c>
      <x:c r="B7" s="12" t="s">
        <x:v>58</x:v>
      </x:c>
      <x:c r="C7" s="12" t="s">
        <x:v>59</x:v>
      </x:c>
      <x:c r="D7" s="12" t="s">
        <x:v>615</x:v>
      </x:c>
      <x:c r="E7" s="12" t="s">
        <x:v>616</x:v>
      </x:c>
      <x:c r="F7" s="12" t="s">
        <x:v>617</x:v>
      </x:c>
      <x:c r="G7" s="12" t="s">
        <x:v>618</x:v>
      </x:c>
      <x:c r="H7" s="1" t="s">
        <x:v>619</x:v>
      </x:c>
      <x:c r="I7" s="1" t="s">
        <x:v>620</x:v>
      </x:c>
    </x:row>
    <x:row r="8" ht="14.25" hidden="0" customHeight="1">
      <x:c r="A8" s="1" t="s">
        <x:v>60</x:v>
      </x:c>
      <x:c r="B8" s="1" t="n">
        <x:v>1</x:v>
      </x:c>
      <x:c r="C8" s="1" t="n">
        <x:v>-0.9</x:v>
      </x:c>
      <x:c r="D8" s="10" t="n">
        <x:f aca="0">SUMPRODUCT(MIN((Rights_Coverage_View!$B$2:$B$71=$A8)*Rights_Coverage_View!$M$2:$M$71+(Rights_Coverage_View!$B$2:$B$71&lt;&gt;$A8)*1E+099))</x:f>
        <x:v>0</x:v>
      </x:c>
      <x:c r="E8" s="10" t="n">
        <x:f aca="0">SUMPRODUCT(MIN((Rights_Coverage_View!$B$2:$B$71=$A8)*Rights_Coverage_View!$N$2:$N$71+(Rights_Coverage_View!$B$2:$B$71&lt;&gt;$A8)*1E+099))</x:f>
        <x:v>0</x:v>
      </x:c>
      <x:c r="F8" s="13" t="str">
        <x:f aca="0">IF(D8&gt;=$C8,"PASS","FAIL")</x:f>
        <x:v>PASS</x:v>
      </x:c>
      <x:c r="G8" s="13" t="str">
        <x:f aca="0">IF(E8&gt;=$C8,"PASS","FAIL")</x:f>
        <x:v>PASS</x:v>
      </x:c>
      <x:c r="H8" s="1" t="str">
        <x:f aca="0">IF(OR($A8="",$D8="",$D8&gt;=0),"",IFERROR("Rights_Coverage_View!H"&amp;MATCH($A8&amp;"|"&amp;ROUND($D8*1000000000000,0),Rights_Coverage_View!$O$2:$O$100,0)+1,""))</x:f>
      </x:c>
      <x:c r="I8" s="1" t="str">
        <x:f aca="0">IF(OR($A8="",$E8="",$E8&gt;=0),"",IFERROR("Rights_Coverage_View!I"&amp;MATCH($A8&amp;"|"&amp;ROUND($E8*1000000000000,0),Rights_Coverage_View!$P$2:$P$100,0)+1,""))</x:f>
      </x:c>
    </x:row>
    <x:row r="9" ht="14.25" hidden="0" customHeight="1">
      <x:c r="A9" s="1" t="s">
        <x:v>61</x:v>
      </x:c>
      <x:c r="B9" s="1" t="n">
        <x:v>2</x:v>
      </x:c>
      <x:c r="C9" s="1" t="n">
        <x:v>-0.7</x:v>
      </x:c>
      <x:c r="D9" s="10" t="n">
        <x:f aca="0">SUMPRODUCT(MIN((Rights_Coverage_View!$B$2:$B$71=$A9)*Rights_Coverage_View!$M$2:$M$71+(Rights_Coverage_View!$B$2:$B$71&lt;&gt;$A9)*1E+099))</x:f>
        <x:v>0</x:v>
      </x:c>
      <x:c r="E9" s="10" t="n">
        <x:f aca="0">SUMPRODUCT(MIN((Rights_Coverage_View!$B$2:$B$71=$A9)*Rights_Coverage_View!$N$2:$N$71+(Rights_Coverage_View!$B$2:$B$71&lt;&gt;$A9)*1E+099))</x:f>
        <x:v>0</x:v>
      </x:c>
      <x:c r="F9" s="13" t="str">
        <x:f aca="0">IF(D9&gt;=$C9,"PASS","FAIL")</x:f>
        <x:v>PASS</x:v>
      </x:c>
      <x:c r="G9" s="13" t="str">
        <x:f aca="0">IF(E9&gt;=$C9,"PASS","FAIL")</x:f>
        <x:v>PASS</x:v>
      </x:c>
      <x:c r="H9" s="1" t="str">
        <x:f aca="0">IF(OR($A9="",$D9="",$D9&gt;=0),"",IFERROR("Rights_Coverage_View!H"&amp;MATCH($A9&amp;"|"&amp;ROUND($D9*1000000000000,0),Rights_Coverage_View!$O$2:$O$100,0)+1,""))</x:f>
      </x:c>
      <x:c r="I9" s="1" t="str">
        <x:f aca="0">IF(OR($A9="",$E9="",$E9&gt;=0),"",IFERROR("Rights_Coverage_View!I"&amp;MATCH($A9&amp;"|"&amp;ROUND($E9*1000000000000,0),Rights_Coverage_View!$P$2:$P$100,0)+1,""))</x:f>
      </x:c>
    </x:row>
    <x:row r="10" ht="14.25" hidden="0" customHeight="1">
      <x:c r="A10" s="1" t="s">
        <x:v>62</x:v>
      </x:c>
      <x:c r="B10" s="1" t="n">
        <x:v>3</x:v>
      </x:c>
      <x:c r="C10" s="1" t="n">
        <x:v>-0.65</x:v>
      </x:c>
      <x:c r="D10" s="10" t="n">
        <x:f aca="0">SUMPRODUCT(MIN((Rights_Coverage_View!$B$2:$B$71=$A10)*Rights_Coverage_View!$M$2:$M$71+(Rights_Coverage_View!$B$2:$B$71&lt;&gt;$A10)*1E+099))</x:f>
        <x:v>0</x:v>
      </x:c>
      <x:c r="E10" s="10" t="n">
        <x:f aca="0">SUMPRODUCT(MIN((Rights_Coverage_View!$B$2:$B$71=$A10)*Rights_Coverage_View!$N$2:$N$71+(Rights_Coverage_View!$B$2:$B$71&lt;&gt;$A10)*1E+099))</x:f>
        <x:v>-0.08</x:v>
      </x:c>
      <x:c r="F10" s="13" t="str">
        <x:f aca="0">IF(D10&gt;=$C10,"PASS","FAIL")</x:f>
        <x:v>PASS</x:v>
      </x:c>
      <x:c r="G10" s="13" t="str">
        <x:f aca="0">IF(E10&gt;=$C10,"PASS","FAIL")</x:f>
        <x:v>PASS</x:v>
      </x:c>
      <x:c r="H10" s="1" t="str">
        <x:f aca="0">IF(OR($A10="",$D10="",$D10&gt;=0),"",IFERROR("Rights_Coverage_View!H"&amp;MATCH($A10&amp;"|"&amp;ROUND($D10*1000000000000,0),Rights_Coverage_View!$O$2:$O$100,0)+1,""))</x:f>
      </x:c>
      <x:c r="I10" s="1" t="str">
        <x:f aca="0">IF(OR($A10="",$E10="",$E10&gt;=0),"",IFERROR("Rights_Coverage_View!I"&amp;MATCH($A10&amp;"|"&amp;ROUND($E10*1000000000000,0),Rights_Coverage_View!$P$2:$P$100,0)+1,""))</x:f>
        <x:v>Rights_Coverage_View!I16</x:v>
      </x:c>
    </x:row>
    <x:row r="11" ht="14.25" hidden="0" customHeight="1">
      <x:c r="A11" s="1" t="s">
        <x:v>63</x:v>
      </x:c>
      <x:c r="B11" s="1" t="n">
        <x:v>4</x:v>
      </x:c>
      <x:c r="C11" s="1" t="n">
        <x:v>-0.65</x:v>
      </x:c>
      <x:c r="D11" s="10" t="n">
        <x:f aca="0">SUMPRODUCT(MIN((Rights_Coverage_View!$B$2:$B$71=$A11)*Rights_Coverage_View!$M$2:$M$71+(Rights_Coverage_View!$B$2:$B$71&lt;&gt;$A11)*1E+099))</x:f>
        <x:v>-0.15</x:v>
      </x:c>
      <x:c r="E11" s="10" t="n">
        <x:f aca="0">SUMPRODUCT(MIN((Rights_Coverage_View!$B$2:$B$71=$A11)*Rights_Coverage_View!$N$2:$N$71+(Rights_Coverage_View!$B$2:$B$71&lt;&gt;$A11)*1E+099))</x:f>
        <x:v>-0.15</x:v>
      </x:c>
      <x:c r="F11" s="13" t="str">
        <x:f aca="0">IF(D11&gt;=$C11,"PASS","FAIL")</x:f>
        <x:v>PASS</x:v>
      </x:c>
      <x:c r="G11" s="13" t="str">
        <x:f aca="0">IF(E11&gt;=$C11,"PASS","FAIL")</x:f>
        <x:v>PASS</x:v>
      </x:c>
      <x:c r="H11" s="1" t="str">
        <x:f aca="0">IF(OR($A11="",$D11="",$D11&gt;=0),"",IFERROR("Rights_Coverage_View!H"&amp;MATCH($A11&amp;"|"&amp;ROUND($D11*1000000000000,0),Rights_Coverage_View!$O$2:$O$100,0)+1,""))</x:f>
        <x:v>Rights_Coverage_View!H17</x:v>
      </x:c>
      <x:c r="I11" s="1" t="str">
        <x:f aca="0">IF(OR($A11="",$E11="",$E11&gt;=0),"",IFERROR("Rights_Coverage_View!I"&amp;MATCH($A11&amp;"|"&amp;ROUND($E11*1000000000000,0),Rights_Coverage_View!$P$2:$P$100,0)+1,""))</x:f>
        <x:v>Rights_Coverage_View!I17</x:v>
      </x:c>
    </x:row>
    <x:row r="12" ht="14.25" hidden="0" customHeight="1">
      <x:c r="A12" s="1" t="s">
        <x:v>64</x:v>
      </x:c>
      <x:c r="B12" s="1" t="n">
        <x:v>5</x:v>
      </x:c>
      <x:c r="C12" s="1" t="n">
        <x:v>-0.5</x:v>
      </x:c>
      <x:c r="D12" s="10" t="n">
        <x:f aca="0">SUMPRODUCT(MIN((Rights_Coverage_View!$B$2:$B$71=$A12)*Rights_Coverage_View!$M$2:$M$71+(Rights_Coverage_View!$B$2:$B$71&lt;&gt;$A12)*1E+099))</x:f>
        <x:v>-0.3</x:v>
      </x:c>
      <x:c r="E12" s="10" t="n">
        <x:f aca="0">SUMPRODUCT(MIN((Rights_Coverage_View!$B$2:$B$71=$A12)*Rights_Coverage_View!$N$2:$N$71+(Rights_Coverage_View!$B$2:$B$71&lt;&gt;$A12)*1E+099))</x:f>
        <x:v>-0.12</x:v>
      </x:c>
      <x:c r="F12" s="13" t="str">
        <x:f aca="0">IF(D12&gt;=$C12,"PASS","FAIL")</x:f>
        <x:v>PASS</x:v>
      </x:c>
      <x:c r="G12" s="13" t="str">
        <x:f aca="0">IF(E12&gt;=$C12,"PASS","FAIL")</x:f>
        <x:v>PASS</x:v>
      </x:c>
      <x:c r="H12" s="1" t="str">
        <x:f aca="0">IF(OR($A12="",$D12="",$D12&gt;=0),"",IFERROR("Rights_Coverage_View!H"&amp;MATCH($A12&amp;"|"&amp;ROUND($D12*1000000000000,0),Rights_Coverage_View!$O$2:$O$100,0)+1,""))</x:f>
        <x:v>Rights_Coverage_View!H29</x:v>
      </x:c>
      <x:c r="I12" s="1" t="str">
        <x:f aca="0">IF(OR($A12="",$E12="",$E12&gt;=0),"",IFERROR("Rights_Coverage_View!I"&amp;MATCH($A12&amp;"|"&amp;ROUND($E12*1000000000000,0),Rights_Coverage_View!$P$2:$P$100,0)+1,""))</x:f>
        <x:v>Rights_Coverage_View!I29</x:v>
      </x:c>
    </x:row>
    <x:row r="13" ht="14.25" hidden="0" customHeight="1">
      <x:c r="A13" s="1" t="s">
        <x:v>65</x:v>
      </x:c>
      <x:c r="B13" s="1" t="n">
        <x:v>6</x:v>
      </x:c>
      <x:c r="C13" s="1" t="n">
        <x:v>-0.55</x:v>
      </x:c>
      <x:c r="D13" s="10" t="n">
        <x:f aca="0">SUMPRODUCT(MIN((Rights_Coverage_View!$B$2:$B$71=$A13)*Rights_Coverage_View!$M$2:$M$71+(Rights_Coverage_View!$B$2:$B$71&lt;&gt;$A13)*1E+099))</x:f>
        <x:v>-0.15</x:v>
      </x:c>
      <x:c r="E13" s="10" t="n">
        <x:f aca="0">SUMPRODUCT(MIN((Rights_Coverage_View!$B$2:$B$71=$A13)*Rights_Coverage_View!$N$2:$N$71+(Rights_Coverage_View!$B$2:$B$71&lt;&gt;$A13)*1E+099))</x:f>
        <x:v>-0.15</x:v>
      </x:c>
      <x:c r="F13" s="13" t="str">
        <x:f aca="0">IF(D13&gt;=$C13,"PASS","FAIL")</x:f>
        <x:v>PASS</x:v>
      </x:c>
      <x:c r="G13" s="13" t="str">
        <x:f aca="0">IF(E13&gt;=$C13,"PASS","FAIL")</x:f>
        <x:v>PASS</x:v>
      </x:c>
      <x:c r="H13" s="1" t="str">
        <x:f aca="0">IF(OR($A13="",$D13="",$D13&gt;=0),"",IFERROR("Rights_Coverage_View!H"&amp;MATCH($A13&amp;"|"&amp;ROUND($D13*1000000000000,0),Rights_Coverage_View!$O$2:$O$100,0)+1,""))</x:f>
        <x:v>Rights_Coverage_View!H23</x:v>
      </x:c>
      <x:c r="I13" s="1" t="str">
        <x:f aca="0">IF(OR($A13="",$E13="",$E13&gt;=0),"",IFERROR("Rights_Coverage_View!I"&amp;MATCH($A13&amp;"|"&amp;ROUND($E13*1000000000000,0),Rights_Coverage_View!$P$2:$P$100,0)+1,""))</x:f>
        <x:v>Rights_Coverage_View!I17</x:v>
      </x:c>
    </x:row>
    <x:row r="14" ht="14.25" hidden="0" customHeight="1">
      <x:c r="A14" s="1" t="s">
        <x:v>66</x:v>
      </x:c>
      <x:c r="B14" s="1" t="n">
        <x:v>7</x:v>
      </x:c>
      <x:c r="C14" s="1" t="n">
        <x:v>-0.45</x:v>
      </x:c>
      <x:c r="D14" s="1" t="n">
        <x:f aca="0">SUMPRODUCT(MIN((Rights_Coverage_View!$B$2:$B$71=$A14)*Rights_Coverage_View!$M$2:$M$71+(Rights_Coverage_View!$B$2:$B$71&lt;&gt;$A14)*1E+099))</x:f>
        <x:v>0</x:v>
      </x:c>
      <x:c r="E14" s="1" t="n">
        <x:f aca="0">SUMPRODUCT(MIN((Rights_Coverage_View!$B$2:$B$71=$A14)*Rights_Coverage_View!$N$2:$N$71+(Rights_Coverage_View!$B$2:$B$71&lt;&gt;$A14)*1E+099))</x:f>
        <x:v>0</x:v>
      </x:c>
      <x:c r="F14" s="13" t="str">
        <x:f aca="0">IF(D14&gt;=$C14,"PASS","FAIL")</x:f>
        <x:v>PASS</x:v>
      </x:c>
      <x:c r="G14" s="13" t="str">
        <x:f aca="0">IF(E14&gt;=$C14,"PASS","FAIL")</x:f>
        <x:v>PASS</x:v>
      </x:c>
      <x:c r="H14" s="1" t="str">
        <x:f aca="0">IF(OR($A14="",$D14="",$D14&gt;=0),"",IFERROR("Rights_Coverage_View!H"&amp;MATCH($A14&amp;"|"&amp;ROUND($D14*1000000000000,0),Rights_Coverage_View!$O$2:$O$100,0)+1,""))</x:f>
      </x:c>
      <x:c r="I14" s="1" t="str">
        <x:f aca="0">IF(OR($A14="",$E14="",$E14&gt;=0),"",IFERROR("Rights_Coverage_View!I"&amp;MATCH($A14&amp;"|"&amp;ROUND($E14*1000000000000,0),Rights_Coverage_View!$P$2:$P$100,0)+1,""))</x:f>
      </x:c>
    </x:row>
    <x:row r="15" ht="14.25" hidden="0" customHeight="1">
      <x:c r="A15" s="1" t="s">
        <x:v>67</x:v>
      </x:c>
      <x:c r="B15" s="1" t="n">
        <x:v>8</x:v>
      </x:c>
      <x:c r="C15" s="1" t="n">
        <x:v>-0.4</x:v>
      </x:c>
      <x:c r="D15" s="10" t="n">
        <x:f aca="0">SUMPRODUCT(MIN((Rights_Coverage_View!$B$2:$B$71=$A15)*Rights_Coverage_View!$M$2:$M$71+(Rights_Coverage_View!$B$2:$B$71&lt;&gt;$A15)*1E+099))</x:f>
        <x:v>0</x:v>
      </x:c>
      <x:c r="E15" s="10" t="n">
        <x:f aca="0">SUMPRODUCT(MIN((Rights_Coverage_View!$B$2:$B$71=$A15)*Rights_Coverage_View!$N$2:$N$71+(Rights_Coverage_View!$B$2:$B$71&lt;&gt;$A15)*1E+099))</x:f>
        <x:v>-0.15</x:v>
      </x:c>
      <x:c r="F15" s="13" t="str">
        <x:f aca="0">IF(D15&gt;=$C15,"PASS","FAIL")</x:f>
        <x:v>PASS</x:v>
      </x:c>
      <x:c r="G15" s="13" t="str">
        <x:f aca="0">IF(E15&gt;=$C15,"PASS","FAIL")</x:f>
        <x:v>PASS</x:v>
      </x:c>
      <x:c r="H15" s="1" t="str">
        <x:f aca="0">IF(OR($A15="",$D15="",$D15&gt;=0),"",IFERROR("Rights_Coverage_View!H"&amp;MATCH($A15&amp;"|"&amp;ROUND($D15*1000000000000,0),Rights_Coverage_View!$O$2:$O$100,0)+1,""))</x:f>
      </x:c>
      <x:c r="I15" s="1" t="str">
        <x:f aca="0">IF(OR($A15="",$E15="",$E15&gt;=0),"",IFERROR("Rights_Coverage_View!I"&amp;MATCH($A15&amp;"|"&amp;ROUND($E15*1000000000000,0),Rights_Coverage_View!$P$2:$P$100,0)+1,""))</x:f>
        <x:v>Rights_Coverage_View!I17</x:v>
      </x:c>
    </x:row>
    <x:row r="16" ht="14.25" hidden="0" customHeight="1">
      <x:c r="D16" s="10" t="n">
        <x:f aca="0">MIN(D8:D15)</x:f>
        <x:v>-0.3</x:v>
      </x:c>
      <x:c r="E16" s="10" t="n">
        <x:f aca="0">MIN(E8:E15)</x:f>
        <x:v>-0.15</x:v>
      </x:c>
      <x:c r="F16" s="13"/>
    </x:row>
    <x:row r="17" ht="14.25" hidden="0" customHeight="1">
      <x:c r="A17" s="12" t="s">
        <x:v>621</x:v>
      </x:c>
    </x:row>
    <x:row r="18" ht="19.5" hidden="0" customHeight="1">
      <x:c r="A18" s="1" t="s">
        <x:v>622</x:v>
      </x:c>
      <x:c r="B18" s="53" t="s">
        <x:v>623</x:v>
      </x:c>
      <x:c r="C18" s="1" t="s">
        <x:v>624</x:v>
      </x:c>
      <x:c r="D18" s="1" t="str">
        <x:f aca="0">IF(COUNTIF(F8:F15,"FAIL")=0,"PASS","FAIL")</x:f>
        <x:v>PASS</x:v>
      </x:c>
      <x:c r="E18" s="1" t="s">
        <x:v>625</x:v>
      </x:c>
    </x:row>
    <x:row r="19" ht="19.5" hidden="0" customHeight="1">
      <x:c r="A19" s="1" t="s">
        <x:v>626</x:v>
      </x:c>
      <x:c r="B19" s="53" t="s">
        <x:v>623</x:v>
      </x:c>
      <x:c r="C19" s="1" t="s">
        <x:v>627</x:v>
      </x:c>
      <x:c r="D19" s="1" t="str">
        <x:f aca="0">IF(COUNTIF(G8:G15,"FAIL")=0,"PASS","FAIL")</x:f>
        <x:v>PASS</x:v>
      </x:c>
    </x:row>
    <x:row r="20" ht="42" hidden="0" customHeight="1">
      <x:c r="A20" s="54" t="s">
        <x:v>628</x:v>
      </x:c>
      <x:c r="B20" s="54"/>
      <x:c r="C20" s="54"/>
      <x:c r="D20" s="54"/>
      <x:c r="E20" s="54"/>
      <x:c r="F20" s="54"/>
      <x:c r="G20" s="54"/>
      <x:c r="H20" s="54"/>
      <x:c r="I20" s="54"/>
    </x:row>
    <x:row r="21" ht="42" hidden="1" customHeight="1">
      <x:c r="A21" s="54" t="s">
        <x:v>629</x:v>
      </x:c>
      <x:c r="B21" s="54"/>
      <x:c r="C21" s="54"/>
      <x:c r="D21" s="54"/>
      <x:c r="E21" s="54"/>
      <x:c r="F21" s="54"/>
      <x:c r="G21" s="54"/>
      <x:c r="H21" s="54"/>
      <x:c r="I21" s="54"/>
    </x:row>
    <x:row r="22" ht="14.25" hidden="1" customHeight="1">
      <x:c r="A22" s="9"/>
      <x:c r="B22" s="9"/>
      <x:c r="C22" s="9"/>
      <x:c r="D22" s="9"/>
      <x:c r="E22" s="9"/>
      <x:c r="F22" s="9"/>
    </x:row>
    <x:row r="23" ht="14.25" hidden="1" customHeight="1">
      <x:c r="A23" s="1"/>
      <x:c r="B23" s="1"/>
      <x:c r="C23" s="1"/>
      <x:c r="D23" s="10"/>
      <x:c r="E23" s="10"/>
      <x:c r="F23" s="13"/>
    </x:row>
    <x:row r="24" ht="14.25" hidden="1" customHeight="1">
      <x:c r="A24" s="1"/>
      <x:c r="B24" s="1"/>
      <x:c r="C24" s="1"/>
      <x:c r="D24" s="10"/>
      <x:c r="E24" s="10"/>
      <x:c r="F24" s="13"/>
    </x:row>
    <x:row r="25" ht="14.25" hidden="1" customHeight="1">
      <x:c r="A25" s="1"/>
      <x:c r="B25" s="1"/>
      <x:c r="C25" s="1"/>
      <x:c r="D25" s="10"/>
      <x:c r="E25" s="10"/>
      <x:c r="F25" s="13"/>
    </x:row>
    <x:row r="26" ht="14.25" hidden="1" customHeight="1">
      <x:c r="A26" s="1"/>
      <x:c r="B26" s="1"/>
      <x:c r="C26" s="1"/>
      <x:c r="D26" s="10"/>
      <x:c r="E26" s="10"/>
      <x:c r="F26" s="13"/>
    </x:row>
    <x:row r="27" ht="14.25" hidden="1" customHeight="1">
      <x:c r="A27" s="1"/>
      <x:c r="B27" s="1"/>
      <x:c r="C27" s="1"/>
      <x:c r="D27" s="10"/>
      <x:c r="E27" s="10"/>
      <x:c r="F27" s="13"/>
    </x:row>
    <x:row r="28" ht="14.25" hidden="1" customHeight="1">
      <x:c r="A28" s="1"/>
      <x:c r="B28" s="1"/>
      <x:c r="C28" s="1"/>
      <x:c r="D28" s="10"/>
      <x:c r="E28" s="10"/>
      <x:c r="F28" s="13"/>
    </x:row>
    <x:row r="29" ht="14.25" hidden="1" customHeight="1">
      <x:c r="A29" s="1"/>
      <x:c r="B29" s="1"/>
      <x:c r="C29" s="1"/>
      <x:c r="D29" s="1"/>
      <x:c r="E29" s="1"/>
      <x:c r="F29" s="1"/>
    </x:row>
    <x:row r="30" ht="14.25" hidden="1" customHeight="1">
      <x:c r="A30" s="1"/>
      <x:c r="B30" s="1"/>
      <x:c r="C30" s="1"/>
      <x:c r="D30" s="10"/>
      <x:c r="E30" s="10"/>
      <x:c r="F30" s="13"/>
    </x:row>
    <x:row r="31" ht="14.25" hidden="1" customHeight="1">
      <x:c r="D31" s="10"/>
      <x:c r="E31" s="10"/>
      <x:c r="F31" s="13"/>
    </x:row>
    <x:row r="32" ht="14.25" hidden="1" customHeight="1"/>
    <x:row r="33" ht="14.25" hidden="1" customHeight="1">
      <x:c r="A33" s="1"/>
      <x:c r="D33" s="1"/>
      <x:c r="E33" s="1"/>
    </x:row>
    <x:row r="34" ht="14.25" hidden="1" customHeight="1">
      <x:c r="A34" s="1"/>
      <x:c r="B34" s="13"/>
    </x:row>
    <x:row r="35" ht="14.25" hidden="1" customHeight="1">
      <x:c r="A35" s="1"/>
    </x:row>
    <x:row r="36" ht="14.25" hidden="1" customHeight="1">
      <x:c r="A36" s="9"/>
      <x:c r="B36" s="1"/>
    </x:row>
    <x:row r="37" ht="14.25" hidden="1" customHeight="1">
      <x:c r="A37" s="1"/>
      <x:c r="B37" s="1"/>
    </x:row>
    <x:row r="38" ht="14.25" hidden="1" customHeight="1">
      <x:c r="A38" s="1"/>
    </x:row>
    <x:row r="39" ht="14.25" hidden="1" customHeight="1">
      <x:c r="A39" s="1"/>
    </x:row>
    <x:row r="40" ht="13.5" hidden="1" customHeight="1"/>
    <x:row r="41" ht="13.5" hidden="1" customHeight="1"/>
    <x:row r="42" ht="13.5" hidden="1" customHeight="1"/>
    <x:row r="43" ht="13.5" hidden="1" customHeight="1"/>
    <x:row r="44" ht="13.5" hidden="1" customHeight="1"/>
    <x:row r="45" ht="13.5" hidden="1" customHeight="1"/>
    <x:row r="46" ht="13.5" hidden="1" customHeight="1"/>
    <x:row r="47" ht="13.5" hidden="1" customHeight="1"/>
    <x:row r="48" ht="13.5" hidden="1" customHeight="1"/>
    <x:row r="49" ht="13.5" hidden="1" customHeight="1"/>
    <x:row r="50" ht="13.5" hidden="1" customHeight="1"/>
    <x:row r="51" ht="13.5" hidden="1" customHeight="1"/>
    <x:row r="52" ht="13.5" hidden="1" customHeight="1"/>
    <x:row r="53" ht="13.5" hidden="1" customHeight="1"/>
    <x:row r="54" ht="13.5" hidden="1" customHeight="1"/>
    <x:row r="55" ht="13.5" hidden="1" customHeight="1"/>
    <x:row r="56" ht="13.5" hidden="1" customHeight="1"/>
    <x:row r="57" ht="13.5" hidden="1" customHeight="1"/>
    <x:row r="58" ht="13.5" hidden="1" customHeight="1"/>
    <x:row r="59" ht="13.5" hidden="1" customHeight="1"/>
    <x:row r="60" ht="13.5" hidden="1" customHeight="1"/>
  </x:sheetData>
  <x:mergeCells>
    <x:mergeCell ref="A1:J1"/>
    <x:mergeCell ref="H6:I6"/>
    <x:mergeCell ref="A20:I20"/>
    <x:mergeCell ref="A21:I21"/>
  </x:mergeCells>
  <x:pageMargins left="0.7" right="0.7" top="0.75" bottom="0.75" header="0.3" footer="0.3"/>
</x:worksheet>
</file>

<file path=xl/worksheets/sheet15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sheetData>
    <x:row r="1" ht="14.25" hidden="0" customHeight="1">
      <x:c r="A1" s="51" t="s">
        <x:v>630</x:v>
      </x:c>
      <x:c r="B1" s="51"/>
      <x:c r="C1" s="51"/>
      <x:c r="D1" s="51"/>
      <x:c r="E1" s="51"/>
      <x:c r="F1" s="51"/>
      <x:c r="G1" s="51"/>
      <x:c r="H1" s="51"/>
      <x:c r="I1" s="51"/>
      <x:c r="J1" s="51"/>
    </x:row>
    <x:row r="3" ht="14.25" hidden="0" customHeight="1">
      <x:c r="A3" s="1" t="s">
        <x:v>631</x:v>
      </x:c>
    </x:row>
    <x:row r="4" ht="14.25" hidden="0" customHeight="1">
      <x:c r="A4" s="1" t="s">
        <x:v>632</x:v>
      </x:c>
    </x:row>
    <x:row r="6" ht="14.25" hidden="0" customHeight="1">
      <x:c r="A6" s="12" t="s">
        <x:v>633</x:v>
      </x:c>
    </x:row>
    <x:row r="7" ht="14.25" hidden="0" customHeight="1">
      <x:c r="A7" s="1" t="s">
        <x:v>634</x:v>
      </x:c>
      <x:c r="B7" s="1" t="n">
        <x:v>0.95</x:v>
      </x:c>
      <x:c r="H7" s="10"/>
      <x:c r="M7" s="1" t="s">
        <x:v>635</x:v>
      </x:c>
      <x:c r="N7" s="1" t="s">
        <x:v>636</x:v>
      </x:c>
      <x:c r="P7" s="1" t="s">
        <x:v>637</x:v>
      </x:c>
    </x:row>
    <x:row r="8" ht="14.25" hidden="0" customHeight="1">
      <x:c r="A8" s="9" t="s">
        <x:v>638</x:v>
      </x:c>
      <x:c r="B8" s="1" t="n">
        <x:v>0.05</x:v>
      </x:c>
      <x:c r="L8" s="10"/>
      <x:c r="M8" s="1">
        <x:f aca="0">L8+ROW()/1000000</x:f>
        <x:v>0.000008</x:v>
      </x:c>
      <x:c r="N8" s="1" t="n">
        <x:f aca="0">RANK(M8,$M$8:$M$14,0)</x:f>
        <x:v>7</x:v>
      </x:c>
      <x:c r="P8" s="1" t="s">
        <x:v>566</x:v>
      </x:c>
      <x:c r="Q8" s="1" t="s">
        <x:v>567</x:v>
      </x:c>
      <x:c r="R8" s="1" t="s">
        <x:v>568</x:v>
      </x:c>
      <x:c r="S8" s="1" t="s">
        <x:v>639</x:v>
      </x:c>
      <x:c r="T8" s="1" t="s">
        <x:v>640</x:v>
      </x:c>
      <x:c r="U8" s="1" t="s">
        <x:v>641</x:v>
      </x:c>
    </x:row>
    <x:row r="9" ht="14.25" hidden="0" customHeight="1">
      <x:c r="A9" s="9" t="s">
        <x:v>642</x:v>
      </x:c>
      <x:c r="B9" s="19" t="n">
        <x:f aca="0">CANON!B58</x:f>
        <x:v>0.2</x:v>
      </x:c>
      <x:c r="C9" s="9"/>
      <x:c r="D9" s="9"/>
      <x:c r="E9" s="9"/>
      <x:c r="F9" s="9"/>
      <x:c r="L9" s="10"/>
      <x:c r="M9" s="1">
        <x:f aca="0">L9+ROW()/1000000</x:f>
        <x:v>0.000009</x:v>
      </x:c>
      <x:c r="N9" s="1" t="n">
        <x:f aca="0">RANK(M9,$M$8:$M$14,0)</x:f>
        <x:v>6</x:v>
      </x:c>
      <x:c r="P9" s="1" t="str">
        <x:f aca="0">INDEX($J$8:$J$14,MATCH(1,$N$8:$N$14,0))</x:f>
      </x:c>
      <x:c r="Q9" s="1" t="str">
        <x:f aca="0">IFERROR(VLOOKUP(P9,$J$8:$L$14,2,FALSE()),"")</x:f>
      </x:c>
      <x:c r="R9" s="1" t="str">
        <x:f aca="0">IFERROR(VLOOKUP(P9,$J$8:$L$14,3,FALSE()),"")</x:f>
      </x:c>
      <x:c r="S9" s="1" t="str">
        <x:f aca="0">IFERROR(Q9,"")</x:f>
      </x:c>
      <x:c r="U9" s="1">
        <x:f aca="0">IFERROR(T9*R9,"")</x:f>
        <x:v>0</x:v>
      </x:c>
    </x:row>
    <x:row r="10" ht="14.25" hidden="0" customHeight="1">
      <x:c r="A10" s="1" t="s">
        <x:v>643</x:v>
      </x:c>
      <x:c r="B10" s="1" t="s">
        <x:v>33</x:v>
      </x:c>
      <x:c r="L10" s="10"/>
      <x:c r="M10" s="1">
        <x:f aca="0">L10+ROW()/1000000</x:f>
        <x:v>0.00001</x:v>
      </x:c>
      <x:c r="N10" s="1" t="n">
        <x:f aca="0">RANK(M10,$M$8:$M$14,0)</x:f>
        <x:v>5</x:v>
      </x:c>
      <x:c r="P10" s="1" t="str">
        <x:f aca="0">INDEX($J$8:$J$14,MATCH(2,$N$8:$N$14,0))</x:f>
      </x:c>
      <x:c r="Q10" s="1" t="str">
        <x:f aca="0">IFERROR(VLOOKUP(P10,$J$8:$L$14,2,FALSE()),"")</x:f>
      </x:c>
      <x:c r="R10" s="1" t="str">
        <x:f aca="0">IFERROR(VLOOKUP(P10,$J$8:$L$14,3,FALSE()),"")</x:f>
      </x:c>
      <x:c r="S10" s="1">
        <x:f aca="0">IFERROR(S9+Q10,"")</x:f>
        <x:v>0</x:v>
      </x:c>
      <x:c r="U10" s="1">
        <x:f aca="0">IFERROR(T10*R10,"")</x:f>
        <x:v>0</x:v>
      </x:c>
    </x:row>
    <x:row r="11" ht="14.25" hidden="0" customHeight="1">
      <x:c r="L11" s="10"/>
      <x:c r="M11" s="1">
        <x:f aca="0">L11+ROW()/1000000</x:f>
        <x:v>0.000011</x:v>
      </x:c>
      <x:c r="N11" s="1" t="n">
        <x:f aca="0">RANK(M11,$M$8:$M$14,0)</x:f>
        <x:v>4</x:v>
      </x:c>
      <x:c r="P11" s="1" t="str">
        <x:f aca="0">INDEX($J$8:$J$14,MATCH(3,$N$8:$N$14,0))</x:f>
      </x:c>
      <x:c r="Q11" s="1" t="str">
        <x:f aca="0">IFERROR(VLOOKUP(P11,$J$8:$L$14,2,FALSE()),"")</x:f>
      </x:c>
      <x:c r="R11" s="1" t="str">
        <x:f aca="0">IFERROR(VLOOKUP(P11,$J$8:$L$14,3,FALSE()),"")</x:f>
      </x:c>
      <x:c r="S11" s="1">
        <x:f aca="0">IFERROR(S10+Q11,"")</x:f>
        <x:v>0</x:v>
      </x:c>
      <x:c r="U11" s="1">
        <x:f aca="0">IFERROR(T11*R11,"")</x:f>
        <x:v>0</x:v>
      </x:c>
    </x:row>
    <x:row r="12" ht="14.25" hidden="0" customHeight="1">
      <x:c r="A12" s="12" t="s">
        <x:v>644</x:v>
      </x:c>
      <x:c r="L12" s="10"/>
      <x:c r="M12" s="1">
        <x:f aca="0">L12+ROW()/1000000</x:f>
        <x:v>0.000012</x:v>
      </x:c>
      <x:c r="N12" s="1" t="n">
        <x:f aca="0">RANK(M12,$M$8:$M$14,0)</x:f>
        <x:v>3</x:v>
      </x:c>
      <x:c r="P12" s="1" t="str">
        <x:f aca="0">INDEX($J$8:$J$14,MATCH(4,$N$8:$N$14,0))</x:f>
      </x:c>
      <x:c r="Q12" s="1" t="str">
        <x:f aca="0">IFERROR(VLOOKUP(P12,$J$8:$L$14,2,FALSE()),"")</x:f>
      </x:c>
      <x:c r="R12" s="1" t="str">
        <x:f aca="0">IFERROR(VLOOKUP(P12,$J$8:$L$14,3,FALSE()),"")</x:f>
      </x:c>
      <x:c r="S12" s="1">
        <x:f aca="0">IFERROR(S11+Q12,"")</x:f>
        <x:v>0</x:v>
      </x:c>
      <x:c r="U12" s="1">
        <x:f aca="0">IFERROR(T12*R12,"")</x:f>
        <x:v>0</x:v>
      </x:c>
    </x:row>
    <x:row r="13" ht="14.25" hidden="0" customHeight="1">
      <x:c r="A13" s="1" t="s">
        <x:v>645</x:v>
      </x:c>
      <x:c r="L13" s="10"/>
      <x:c r="M13" s="1">
        <x:f aca="0">L13+ROW()/1000000</x:f>
        <x:v>0.000013</x:v>
      </x:c>
      <x:c r="N13" s="1" t="n">
        <x:f aca="0">RANK(M13,$M$8:$M$14,0)</x:f>
        <x:v>2</x:v>
      </x:c>
      <x:c r="P13" s="1" t="str">
        <x:f aca="0">INDEX($J$8:$J$14,MATCH(5,$N$8:$N$14,0))</x:f>
      </x:c>
      <x:c r="Q13" s="1" t="str">
        <x:f aca="0">IFERROR(VLOOKUP(P13,$J$8:$L$14,2,FALSE()),"")</x:f>
      </x:c>
      <x:c r="R13" s="1" t="str">
        <x:f aca="0">IFERROR(VLOOKUP(P13,$J$8:$L$14,3,FALSE()),"")</x:f>
      </x:c>
      <x:c r="S13" s="1">
        <x:f aca="0">IFERROR(S12+Q13,"")</x:f>
        <x:v>0</x:v>
      </x:c>
      <x:c r="U13" s="1">
        <x:f aca="0">IFERROR(T13*R13,"")</x:f>
        <x:v>0</x:v>
      </x:c>
    </x:row>
    <x:row r="14" ht="14.25" hidden="0" customHeight="1">
      <x:c r="A14" s="12" t="s">
        <x:v>636</x:v>
      </x:c>
      <x:c r="B14" s="12" t="s">
        <x:v>566</x:v>
      </x:c>
      <x:c r="C14" s="12" t="s">
        <x:v>568</x:v>
      </x:c>
      <x:c r="D14" s="12" t="s">
        <x:v>567</x:v>
      </x:c>
      <x:c r="E14" s="12" t="s">
        <x:v>639</x:v>
      </x:c>
      <x:c r="F14" s="12" t="s">
        <x:v>646</x:v>
      </x:c>
      <x:c r="G14" s="12" t="s">
        <x:v>647</x:v>
      </x:c>
      <x:c r="H14" s="12" t="s">
        <x:v>648</x:v>
      </x:c>
      <x:c r="L14" s="10"/>
      <x:c r="M14" s="1">
        <x:f aca="0">L14+ROW()/1000000</x:f>
        <x:v>0.000014</x:v>
      </x:c>
      <x:c r="N14" s="1" t="n">
        <x:f aca="0">RANK(M14,$M$8:$M$14,0)</x:f>
        <x:v>1</x:v>
      </x:c>
      <x:c r="P14" s="1" t="str">
        <x:f aca="0">INDEX($J$8:$J$14,MATCH(6,$N$8:$N$14,0))</x:f>
      </x:c>
      <x:c r="Q14" s="1" t="str">
        <x:f aca="0">IFERROR(VLOOKUP(P14,$J$8:$L$14,2,FALSE()),"")</x:f>
      </x:c>
      <x:c r="R14" s="1" t="str">
        <x:f aca="0">IFERROR(VLOOKUP(P14,$J$8:$L$14,3,FALSE()),"")</x:f>
      </x:c>
      <x:c r="S14" s="1">
        <x:f aca="0">IFERROR(S13+Q14,"")</x:f>
        <x:v>0</x:v>
      </x:c>
      <x:c r="U14" s="1">
        <x:f aca="0">IFERROR(T14*R14,"")</x:f>
        <x:v>0</x:v>
      </x:c>
    </x:row>
    <x:row r="15" ht="14.25" hidden="0" customHeight="1">
      <x:c r="A15" s="1" t="n">
        <x:v>1</x:v>
      </x:c>
      <x:c r="B15" s="1" t="s">
        <x:v>589</x:v>
      </x:c>
      <x:c r="C15" s="1" t="n">
        <x:v>0.0235</x:v>
      </x:c>
      <x:c r="D15" s="1" t="n">
        <x:v>0.03</x:v>
      </x:c>
      <x:c r="E15" s="1" t="n">
        <x:v>0.03</x:v>
      </x:c>
      <x:c r="F15" s="1" t="s">
        <x:v>76</x:v>
      </x:c>
      <x:c r="G15" s="1" t="n">
        <x:v>0.03</x:v>
      </x:c>
      <x:c r="H15" s="10" t="n">
        <x:v>0.000705</x:v>
      </x:c>
      <x:c r="P15" s="1" t="str">
        <x:f aca="0">INDEX($J$8:$J$14,MATCH(7,$N$8:$N$14,0))</x:f>
      </x:c>
      <x:c r="Q15" s="1" t="str">
        <x:f aca="0">IFERROR(VLOOKUP(P15,$J$8:$L$14,2,FALSE()),"")</x:f>
      </x:c>
      <x:c r="R15" s="1" t="str">
        <x:f aca="0">IFERROR(VLOOKUP(P15,$J$8:$L$14,3,FALSE()),"")</x:f>
      </x:c>
      <x:c r="S15" s="1">
        <x:f aca="0">IFERROR(S14+Q15,"")</x:f>
        <x:v>0</x:v>
      </x:c>
      <x:c r="U15" s="1">
        <x:f aca="0">IFERROR(T15*R15,"")</x:f>
        <x:v>0</x:v>
      </x:c>
    </x:row>
    <x:row r="16" ht="14.25" hidden="0" customHeight="1">
      <x:c r="A16" s="1" t="n">
        <x:v>2</x:v>
      </x:c>
      <x:c r="B16" s="1" t="s">
        <x:v>585</x:v>
      </x:c>
      <x:c r="C16" s="1" t="n">
        <x:v>0.0195</x:v>
      </x:c>
      <x:c r="D16" s="1" t="n">
        <x:v>0.07</x:v>
      </x:c>
      <x:c r="E16" s="1" t="n">
        <x:v>0.1</x:v>
      </x:c>
      <x:c r="F16" s="1" t="s">
        <x:v>649</x:v>
      </x:c>
      <x:c r="G16" s="1" t="n">
        <x:v>0.02</x:v>
      </x:c>
      <x:c r="H16" s="1" t="n">
        <x:v>0.00039</x:v>
      </x:c>
    </x:row>
    <x:row r="17" ht="14.25" hidden="0" customHeight="1">
      <x:c r="A17" s="1" t="n">
        <x:v>3</x:v>
      </x:c>
      <x:c r="B17" s="1" t="s">
        <x:v>583</x:v>
      </x:c>
      <x:c r="C17" s="1" t="n">
        <x:v>0.0175</x:v>
      </x:c>
      <x:c r="D17" s="1" t="n">
        <x:v>0.08</x:v>
      </x:c>
      <x:c r="E17" s="1" t="n">
        <x:v>0.18</x:v>
      </x:c>
      <x:c r="F17" s="1" t="s">
        <x:v>36</x:v>
      </x:c>
      <x:c r="G17" s="1" t="n">
        <x:v>0</x:v>
      </x:c>
      <x:c r="H17" s="1" t="n">
        <x:v>0</x:v>
      </x:c>
    </x:row>
    <x:row r="18" ht="14.25" hidden="0" customHeight="1">
      <x:c r="A18" s="9" t="n">
        <x:v>4</x:v>
      </x:c>
      <x:c r="B18" s="1" t="s">
        <x:v>587</x:v>
      </x:c>
      <x:c r="C18" s="1" t="n">
        <x:v>0.0135</x:v>
      </x:c>
      <x:c r="D18" s="1" t="n">
        <x:v>0.05</x:v>
      </x:c>
      <x:c r="E18" s="1" t="n">
        <x:v>0.23</x:v>
      </x:c>
      <x:c r="F18" s="1" t="s">
        <x:v>36</x:v>
      </x:c>
      <x:c r="G18" s="1" t="n">
        <x:v>0</x:v>
      </x:c>
      <x:c r="H18" s="1" t="n">
        <x:v>0</x:v>
      </x:c>
      <x:c r="M18" s="1" t="s">
        <x:v>635</x:v>
      </x:c>
      <x:c r="N18" s="1" t="s">
        <x:v>636</x:v>
      </x:c>
      <x:c r="P18" s="1" t="s">
        <x:v>637</x:v>
      </x:c>
    </x:row>
    <x:row r="19" ht="14.25" hidden="0" customHeight="1">
      <x:c r="A19" s="55" t="n">
        <x:v>5</x:v>
      </x:c>
      <x:c r="B19" s="1" t="s">
        <x:v>591</x:v>
      </x:c>
      <x:c r="C19" s="1" t="n">
        <x:v>0.01</x:v>
      </x:c>
      <x:c r="D19" s="1" t="n">
        <x:v>0.02</x:v>
      </x:c>
      <x:c r="E19" s="1" t="n">
        <x:v>0.25</x:v>
      </x:c>
      <x:c r="F19" s="1" t="s">
        <x:v>36</x:v>
      </x:c>
      <x:c r="G19" s="1" t="n">
        <x:v>0</x:v>
      </x:c>
      <x:c r="H19" s="1" t="n">
        <x:v>0</x:v>
      </x:c>
      <x:c r="L19" s="10"/>
      <x:c r="M19" s="1">
        <x:f aca="0">L19+ROW()/1000000</x:f>
        <x:v>0.000019</x:v>
      </x:c>
      <x:c r="N19" s="1" t="n">
        <x:f aca="0">RANK(M19,$M$19:$M$25,0)</x:f>
        <x:v>7</x:v>
      </x:c>
      <x:c r="P19" s="1" t="s">
        <x:v>566</x:v>
      </x:c>
      <x:c r="Q19" s="1" t="s">
        <x:v>567</x:v>
      </x:c>
      <x:c r="R19" s="1" t="s">
        <x:v>568</x:v>
      </x:c>
      <x:c r="S19" s="1" t="s">
        <x:v>639</x:v>
      </x:c>
      <x:c r="T19" s="1" t="s">
        <x:v>640</x:v>
      </x:c>
      <x:c r="U19" s="1" t="s">
        <x:v>641</x:v>
      </x:c>
    </x:row>
    <x:row r="20" ht="14.25" hidden="0" customHeight="1">
      <x:c r="A20" s="1" t="n">
        <x:v>6</x:v>
      </x:c>
      <x:c r="B20" s="1" t="s">
        <x:v>581</x:v>
      </x:c>
      <x:c r="C20" s="1" t="n">
        <x:v>0.007</x:v>
      </x:c>
      <x:c r="D20" s="1" t="n">
        <x:v>0.15</x:v>
      </x:c>
      <x:c r="E20" s="1" t="n">
        <x:v>0.4</x:v>
      </x:c>
      <x:c r="F20" s="1" t="s">
        <x:v>36</x:v>
      </x:c>
      <x:c r="G20" s="1" t="n">
        <x:v>0</x:v>
      </x:c>
      <x:c r="H20" s="1" t="n">
        <x:v>0</x:v>
      </x:c>
      <x:c r="L20" s="10"/>
      <x:c r="M20" s="1">
        <x:f aca="0">L20+ROW()/1000000</x:f>
        <x:v>0.00002</x:v>
      </x:c>
      <x:c r="N20" s="1" t="n">
        <x:f aca="0">RANK(M20,$M$19:$M$25,0)</x:f>
        <x:v>6</x:v>
      </x:c>
      <x:c r="P20" s="1" t="str">
        <x:f aca="0">INDEX($J$19:$J$25,MATCH(1,$N$19:$N$25,0))</x:f>
      </x:c>
      <x:c r="Q20" s="1" t="str">
        <x:f aca="0">IFERROR(VLOOKUP(P20,$J$19:$L$25,2,FALSE()),"")</x:f>
      </x:c>
      <x:c r="R20" s="1" t="str">
        <x:f aca="0">IFERROR(VLOOKUP(P20,$J$19:$L$25,3,FALSE()),"")</x:f>
      </x:c>
      <x:c r="S20" s="1" t="str">
        <x:f aca="0">IFERROR(Q20,"")</x:f>
      </x:c>
      <x:c r="U20" s="1">
        <x:f aca="0">IFERROR(T20*R20,"")</x:f>
        <x:v>0</x:v>
      </x:c>
    </x:row>
    <x:row r="21" ht="14.25" hidden="0" customHeight="1">
      <x:c r="A21" s="9" t="n">
        <x:v>7</x:v>
      </x:c>
      <x:c r="B21" s="1" t="s">
        <x:v>576</x:v>
      </x:c>
      <x:c r="C21" s="1" t="n">
        <x:v>0</x:v>
      </x:c>
      <x:c r="D21" s="1" t="n">
        <x:v>0.6</x:v>
      </x:c>
      <x:c r="E21" s="1" t="n">
        <x:v>1</x:v>
      </x:c>
      <x:c r="F21" s="1" t="s">
        <x:v>36</x:v>
      </x:c>
      <x:c r="G21" s="1" t="n">
        <x:v>0</x:v>
      </x:c>
      <x:c r="H21" s="1" t="n">
        <x:v>0</x:v>
      </x:c>
      <x:c r="L21" s="10"/>
      <x:c r="M21" s="1">
        <x:f aca="0">L21+ROW()/1000000</x:f>
        <x:v>0.000021</x:v>
      </x:c>
      <x:c r="N21" s="1" t="n">
        <x:f aca="0">RANK(M21,$M$19:$M$25,0)</x:f>
        <x:v>5</x:v>
      </x:c>
      <x:c r="P21" s="1" t="str">
        <x:f aca="0">INDEX($J$19:$J$25,MATCH(2,$N$19:$N$25,0))</x:f>
      </x:c>
      <x:c r="Q21" s="1" t="str">
        <x:f aca="0">IFERROR(VLOOKUP(P21,$J$19:$L$25,2,FALSE()),"")</x:f>
      </x:c>
      <x:c r="R21" s="1" t="str">
        <x:f aca="0">IFERROR(VLOOKUP(P21,$J$19:$L$25,3,FALSE()),"")</x:f>
      </x:c>
      <x:c r="S21" s="1">
        <x:f aca="0">IFERROR(S20+Q21,"")</x:f>
        <x:v>0</x:v>
      </x:c>
      <x:c r="U21" s="1">
        <x:f aca="0">IFERROR(T21*R21,"")</x:f>
        <x:v>0</x:v>
      </x:c>
    </x:row>
    <x:row r="22" ht="14.25" hidden="0" customHeight="1">
      <x:c r="A22" s="9"/>
      <x:c r="B22" s="9"/>
      <x:c r="C22" s="9"/>
      <x:c r="D22" s="9"/>
      <x:c r="E22" s="9"/>
      <x:c r="F22" s="9"/>
      <x:c r="L22" s="10"/>
      <x:c r="M22" s="1">
        <x:f aca="0">L22+ROW()/1000000</x:f>
        <x:v>0.000022</x:v>
      </x:c>
      <x:c r="N22" s="1" t="n">
        <x:f aca="0">RANK(M22,$M$19:$M$25,0)</x:f>
        <x:v>4</x:v>
      </x:c>
      <x:c r="P22" s="1" t="str">
        <x:f aca="0">INDEX($J$19:$J$25,MATCH(3,$N$19:$N$25,0))</x:f>
      </x:c>
      <x:c r="Q22" s="1" t="str">
        <x:f aca="0">IFERROR(VLOOKUP(P22,$J$19:$L$25,2,FALSE()),"")</x:f>
      </x:c>
      <x:c r="R22" s="1" t="str">
        <x:f aca="0">IFERROR(VLOOKUP(P22,$J$19:$L$25,3,FALSE()),"")</x:f>
      </x:c>
      <x:c r="S22" s="1">
        <x:f aca="0">IFERROR(S21+Q22,"")</x:f>
        <x:v>0</x:v>
      </x:c>
      <x:c r="U22" s="1">
        <x:f aca="0">IFERROR(T22*R22,"")</x:f>
        <x:v>0</x:v>
      </x:c>
    </x:row>
    <x:row r="23" ht="14.25" hidden="0" customHeight="1">
      <x:c r="A23" s="1" t="s">
        <x:v>650</x:v>
      </x:c>
      <x:c r="L23" s="10"/>
      <x:c r="M23" s="1">
        <x:f aca="0">L23+ROW()/1000000</x:f>
        <x:v>0.000023</x:v>
      </x:c>
      <x:c r="N23" s="1" t="n">
        <x:f aca="0">RANK(M23,$M$19:$M$25,0)</x:f>
        <x:v>3</x:v>
      </x:c>
      <x:c r="P23" s="1" t="str">
        <x:f aca="0">INDEX($J$19:$J$25,MATCH(4,$N$19:$N$25,0))</x:f>
      </x:c>
      <x:c r="Q23" s="1" t="str">
        <x:f aca="0">IFERROR(VLOOKUP(P23,$J$19:$L$25,2,FALSE()),"")</x:f>
      </x:c>
      <x:c r="R23" s="1" t="str">
        <x:f aca="0">IFERROR(VLOOKUP(P23,$J$19:$L$25,3,FALSE()),"")</x:f>
      </x:c>
      <x:c r="S23" s="1">
        <x:f aca="0">IFERROR(S22+Q23,"")</x:f>
        <x:v>0</x:v>
      </x:c>
      <x:c r="U23" s="1">
        <x:f aca="0">IFERROR(T23*R23,"")</x:f>
        <x:v>0</x:v>
      </x:c>
    </x:row>
    <x:row r="24" ht="14.25" hidden="0" customHeight="1">
      <x:c r="A24" s="1" t="s">
        <x:v>651</x:v>
      </x:c>
      <x:c r="B24" s="1" t="n">
        <x:v>0.001095</x:v>
      </x:c>
      <x:c r="L24" s="10"/>
      <x:c r="M24" s="1">
        <x:f aca="0">L24+ROW()/1000000</x:f>
        <x:v>0.000024</x:v>
      </x:c>
      <x:c r="N24" s="1" t="n">
        <x:f aca="0">RANK(M24,$M$19:$M$25,0)</x:f>
        <x:v>2</x:v>
      </x:c>
      <x:c r="P24" s="1" t="str">
        <x:f aca="0">INDEX($J$19:$J$25,MATCH(5,$N$19:$N$25,0))</x:f>
      </x:c>
      <x:c r="Q24" s="1" t="str">
        <x:f aca="0">IFERROR(VLOOKUP(P24,$J$19:$L$25,2,FALSE()),"")</x:f>
      </x:c>
      <x:c r="R24" s="1" t="str">
        <x:f aca="0">IFERROR(VLOOKUP(P24,$J$19:$L$25,3,FALSE()),"")</x:f>
      </x:c>
      <x:c r="S24" s="1">
        <x:f aca="0">IFERROR(S23+Q24,"")</x:f>
        <x:v>0</x:v>
      </x:c>
      <x:c r="U24" s="1">
        <x:f aca="0">IFERROR(T24*R24,"")</x:f>
        <x:v>0</x:v>
      </x:c>
    </x:row>
    <x:row r="25" ht="14.25" hidden="0" customHeight="1">
      <x:c r="A25" s="1" t="s">
        <x:v>652</x:v>
      </x:c>
      <x:c r="B25" s="12" t="n">
        <x:v>0.0219</x:v>
      </x:c>
      <x:c r="L25" s="10"/>
      <x:c r="M25" s="1">
        <x:f aca="0">L25+ROW()/1000000</x:f>
        <x:v>0.000025</x:v>
      </x:c>
      <x:c r="N25" s="1" t="n">
        <x:f aca="0">RANK(M25,$M$19:$M$25,0)</x:f>
        <x:v>1</x:v>
      </x:c>
      <x:c r="P25" s="1" t="str">
        <x:f aca="0">INDEX($J$19:$J$25,MATCH(6,$N$19:$N$25,0))</x:f>
      </x:c>
      <x:c r="Q25" s="1" t="str">
        <x:f aca="0">IFERROR(VLOOKUP(P25,$J$19:$L$25,2,FALSE()),"")</x:f>
      </x:c>
      <x:c r="R25" s="1" t="str">
        <x:f aca="0">IFERROR(VLOOKUP(P25,$J$19:$L$25,3,FALSE()),"")</x:f>
      </x:c>
      <x:c r="S25" s="1">
        <x:f aca="0">IFERROR(S24+Q25,"")</x:f>
        <x:v>0</x:v>
      </x:c>
      <x:c r="U25" s="1">
        <x:f aca="0">IFERROR(T25*R25,"")</x:f>
        <x:v>0</x:v>
      </x:c>
    </x:row>
    <x:row r="26" ht="14.25" hidden="0" customHeight="1">
      <x:c r="A26" s="1" t="s">
        <x:v>653</x:v>
      </x:c>
      <x:c r="B26" s="13" t="s">
        <x:v>654</x:v>
      </x:c>
      <x:c r="C26" s="1" t="s">
        <x:v>655</x:v>
      </x:c>
      <x:c r="P26" s="1" t="str">
        <x:f aca="0">INDEX($J$19:$J$25,MATCH(7,$N$19:$N$25,0))</x:f>
      </x:c>
      <x:c r="Q26" s="1" t="str">
        <x:f aca="0">IFERROR(VLOOKUP(P26,$J$19:$L$25,2,FALSE()),"")</x:f>
      </x:c>
      <x:c r="R26" s="1" t="str">
        <x:f aca="0">IFERROR(VLOOKUP(P26,$J$19:$L$25,3,FALSE()),"")</x:f>
      </x:c>
      <x:c r="S26" s="1">
        <x:f aca="0">IFERROR(S25+Q26,"")</x:f>
        <x:v>0</x:v>
      </x:c>
      <x:c r="U26" s="1">
        <x:f aca="0">IFERROR(T26*R26,"")</x:f>
        <x:v>0</x:v>
      </x:c>
    </x:row>
    <x:row r="28" ht="14.25" hidden="0" customHeight="1">
      <x:c r="H28" s="10"/>
    </x:row>
    <x:row r="29" ht="14.25" hidden="0" customHeight="1">
      <x:c r="A29" s="12" t="s">
        <x:v>656</x:v>
      </x:c>
    </x:row>
    <x:row r="30" ht="14.25" hidden="0" customHeight="1">
      <x:c r="A30" s="12" t="s">
        <x:v>636</x:v>
      </x:c>
      <x:c r="B30" s="12" t="s">
        <x:v>566</x:v>
      </x:c>
      <x:c r="C30" s="12" t="s">
        <x:v>568</x:v>
      </x:c>
      <x:c r="D30" s="12" t="s">
        <x:v>567</x:v>
      </x:c>
      <x:c r="E30" s="12" t="s">
        <x:v>639</x:v>
      </x:c>
      <x:c r="F30" s="12" t="s">
        <x:v>646</x:v>
      </x:c>
      <x:c r="G30" s="12" t="s">
        <x:v>647</x:v>
      </x:c>
      <x:c r="H30" s="12" t="s">
        <x:v>648</x:v>
      </x:c>
    </x:row>
    <x:row r="31" ht="14.25" hidden="0" customHeight="1">
      <x:c r="A31" s="9" t="n">
        <x:v>1</x:v>
      </x:c>
      <x:c r="B31" s="1" t="s">
        <x:v>583</x:v>
      </x:c>
      <x:c r="C31" s="1" t="n">
        <x:v>0.0315</x:v>
      </x:c>
      <x:c r="D31" s="1" t="n">
        <x:v>0.08</x:v>
      </x:c>
      <x:c r="E31" s="1" t="n">
        <x:v>0.08</x:v>
      </x:c>
      <x:c r="F31" s="1" t="s">
        <x:v>649</x:v>
      </x:c>
      <x:c r="G31" s="1" t="n">
        <x:v>0.05</x:v>
      </x:c>
      <x:c r="H31" s="1" t="n">
        <x:v>0.001575</x:v>
      </x:c>
    </x:row>
    <x:row r="32" ht="14.25" hidden="0" customHeight="1">
      <x:c r="A32" s="55" t="n">
        <x:v>2</x:v>
      </x:c>
      <x:c r="B32" s="1" t="s">
        <x:v>585</x:v>
      </x:c>
      <x:c r="C32" s="1" t="n">
        <x:v>0.0235</x:v>
      </x:c>
      <x:c r="D32" s="1" t="n">
        <x:v>0.07</x:v>
      </x:c>
      <x:c r="E32" s="1" t="n">
        <x:v>0.15</x:v>
      </x:c>
      <x:c r="F32" s="1" t="s">
        <x:v>36</x:v>
      </x:c>
      <x:c r="G32" s="1" t="n">
        <x:v>0</x:v>
      </x:c>
      <x:c r="H32" s="1" t="n">
        <x:v>0</x:v>
      </x:c>
    </x:row>
    <x:row r="33" ht="14.25" hidden="0" customHeight="1">
      <x:c r="A33" s="1" t="n">
        <x:v>3</x:v>
      </x:c>
      <x:c r="B33" s="1" t="s">
        <x:v>589</x:v>
      </x:c>
      <x:c r="C33" s="1" t="n">
        <x:v>0.02175</x:v>
      </x:c>
      <x:c r="D33" s="1" t="n">
        <x:v>0.03</x:v>
      </x:c>
      <x:c r="E33" s="1" t="n">
        <x:v>0.18</x:v>
      </x:c>
      <x:c r="F33" s="1" t="s">
        <x:v>36</x:v>
      </x:c>
      <x:c r="G33" s="1" t="n">
        <x:v>0</x:v>
      </x:c>
      <x:c r="H33" s="1" t="n">
        <x:v>0</x:v>
      </x:c>
    </x:row>
    <x:row r="34" ht="14.25" hidden="0" customHeight="1">
      <x:c r="A34" s="1" t="n">
        <x:v>4</x:v>
      </x:c>
      <x:c r="B34" s="1" t="s">
        <x:v>587</x:v>
      </x:c>
      <x:c r="C34" s="1" t="n">
        <x:v>0.0135</x:v>
      </x:c>
      <x:c r="D34" s="1" t="n">
        <x:v>0.05</x:v>
      </x:c>
      <x:c r="E34" s="1" t="n">
        <x:v>0.23</x:v>
      </x:c>
      <x:c r="F34" s="1" t="s">
        <x:v>36</x:v>
      </x:c>
      <x:c r="G34" s="1" t="n">
        <x:v>0</x:v>
      </x:c>
      <x:c r="H34" s="1" t="n">
        <x:v>0</x:v>
      </x:c>
    </x:row>
    <x:row r="35" ht="14.25" hidden="0" customHeight="1">
      <x:c r="A35" s="9" t="n">
        <x:v>5</x:v>
      </x:c>
      <x:c r="B35" s="1" t="s">
        <x:v>581</x:v>
      </x:c>
      <x:c r="C35" s="1" t="n">
        <x:v>0.0105</x:v>
      </x:c>
      <x:c r="D35" s="1" t="n">
        <x:v>0.15</x:v>
      </x:c>
      <x:c r="E35" s="1" t="n">
        <x:v>0.38</x:v>
      </x:c>
      <x:c r="F35" s="1" t="s">
        <x:v>36</x:v>
      </x:c>
      <x:c r="G35" s="1" t="n">
        <x:v>0</x:v>
      </x:c>
      <x:c r="H35" s="1" t="n">
        <x:v>0</x:v>
      </x:c>
    </x:row>
    <x:row r="36" ht="14.25" hidden="0" customHeight="1">
      <x:c r="A36" s="56" t="n">
        <x:v>6</x:v>
      </x:c>
      <x:c r="B36" s="1" t="s">
        <x:v>591</x:v>
      </x:c>
      <x:c r="C36" s="1" t="n">
        <x:v>0.007</x:v>
      </x:c>
      <x:c r="D36" s="1" t="n">
        <x:v>0.02</x:v>
      </x:c>
      <x:c r="E36" s="1" t="n">
        <x:v>0.4</x:v>
      </x:c>
      <x:c r="F36" s="1" t="s">
        <x:v>36</x:v>
      </x:c>
      <x:c r="G36" s="1" t="n">
        <x:v>0</x:v>
      </x:c>
      <x:c r="H36" s="1" t="n">
        <x:v>0</x:v>
      </x:c>
    </x:row>
    <x:row r="37" ht="14.25" hidden="0" customHeight="1">
      <x:c r="A37" s="1" t="n">
        <x:v>7</x:v>
      </x:c>
      <x:c r="B37" s="1" t="s">
        <x:v>576</x:v>
      </x:c>
      <x:c r="C37" s="1" t="n">
        <x:v>0.003574</x:v>
      </x:c>
      <x:c r="D37" s="1" t="n">
        <x:v>0.6</x:v>
      </x:c>
      <x:c r="E37" s="1" t="n">
        <x:v>1</x:v>
      </x:c>
      <x:c r="F37" s="1" t="s">
        <x:v>36</x:v>
      </x:c>
      <x:c r="G37" s="1" t="n">
        <x:v>0</x:v>
      </x:c>
      <x:c r="H37" s="1" t="n">
        <x:v>0</x:v>
      </x:c>
    </x:row>
    <x:row r="38" ht="14.25" hidden="0" customHeight="1">
      <x:c r="A38" s="57"/>
    </x:row>
    <x:row r="39" ht="14.25" hidden="0" customHeight="1">
      <x:c r="A39" s="1" t="s">
        <x:v>657</x:v>
      </x:c>
    </x:row>
    <x:row r="40" ht="14.25" hidden="0" customHeight="1">
      <x:c r="A40" s="1" t="s">
        <x:v>651</x:v>
      </x:c>
      <x:c r="B40" s="1" t="n">
        <x:v>0.001575</x:v>
      </x:c>
    </x:row>
    <x:row r="41" ht="14.25" hidden="0" customHeight="1">
      <x:c r="A41" s="1" t="s">
        <x:v>658</x:v>
      </x:c>
      <x:c r="B41" s="12" t="n">
        <x:v>0.0315</x:v>
      </x:c>
    </x:row>
    <x:row r="42" ht="14.25" hidden="0" customHeight="1">
      <x:c r="A42" s="1" t="s">
        <x:v>653</x:v>
      </x:c>
      <x:c r="B42" s="13" t="s">
        <x:v>654</x:v>
      </x:c>
      <x:c r="C42" s="1" t="s">
        <x:v>659</x:v>
      </x:c>
    </x:row>
    <x:row r="43" ht="14.25" hidden="0" customHeight="1">
      <x:c r="A43" s="1" t="str">
        <x:f aca="0">IF(Dashboard!$B$36="YES","  2nd: Option "&amp;IF($H$15&lt;=$H$28,"B","A")&amp;" (CVaR = "&amp;TEXT(MAX($H$15,$H$28),"0.000")&amp;")","")</x:f>
      </x:c>
    </x:row>
    <x:row r="45" ht="14.25" hidden="0" customHeight="1">
      <x:c r="A45" s="58" t="s">
        <x:v>660</x:v>
      </x:c>
    </x:row>
    <x:row r="46" ht="14.25" hidden="0" customHeight="1">
      <x:c r="A46" s="1" t="s">
        <x:v>661</x:v>
      </x:c>
    </x:row>
    <x:row r="47" ht="14.25" hidden="0" customHeight="1">
      <x:c r="A47" s="1" t="s">
        <x:v>662</x:v>
      </x:c>
    </x:row>
    <x:row r="48" ht="14.25" hidden="0" customHeight="1">
      <x:c r="A48" s="1" t="s">
        <x:v>663</x:v>
      </x:c>
    </x:row>
    <x:row r="51" ht="13.5" hidden="0" customHeight="1"/>
    <x:row r="52" ht="14.25" hidden="0" customHeight="1">
      <x:c r="A52" s="57"/>
    </x:row>
  </x:sheetData>
  <x:mergeCells>
    <x:mergeCell ref="A1:J1"/>
  </x:mergeCells>
  <x:pageMargins left="0.7" right="0.7" top="0.75" bottom="0.75" header="0.3" footer="0.3"/>
</x:worksheet>
</file>

<file path=xl/worksheets/sheet16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sheetData>
    <x:row r="1" ht="14.25" hidden="0" customHeight="1">
      <x:c r="A1" s="26" t="s">
        <x:v>664</x:v>
      </x:c>
      <x:c r="B1" s="26"/>
      <x:c r="C1" s="26"/>
      <x:c r="D1" s="26"/>
      <x:c r="E1" s="26"/>
      <x:c r="F1" s="26"/>
      <x:c r="G1" s="26"/>
      <x:c r="H1" s="26"/>
    </x:row>
    <x:row r="2" ht="14.25" hidden="0" customHeight="1">
      <x:c r="J2" s="1" t="s">
        <x:v>665</x:v>
      </x:c>
    </x:row>
    <x:row r="3" ht="14.25" hidden="0" customHeight="1">
      <x:c r="A3" s="1" t="s">
        <x:v>666</x:v>
      </x:c>
      <x:c r="J3" s="1" t="s">
        <x:v>341</x:v>
      </x:c>
      <x:c r="K3" s="1" t="n">
        <x:f aca="0">CANON!B23</x:f>
        <x:v>0.05</x:v>
      </x:c>
    </x:row>
    <x:row r="4" ht="14.25" hidden="0" customHeight="1">
      <x:c r="A4" s="1" t="str">
        <x:f aca="0">"θ_pos = "&amp;TEXT(Parameters!$B$28,"0.00")&amp;" | τ_c = "&amp;TEXT(Parameters!$B$27,"0.00")</x:f>
        <x:v>θ_pos = 0.05 | τ_c = -0.10</x:v>
      </x:c>
      <x:c r="J4" s="1" t="s">
        <x:v>667</x:v>
      </x:c>
      <x:c r="K4" s="1" t="n">
        <x:f aca="0">CANON!B24</x:f>
        <x:v>-0.1</x:v>
      </x:c>
    </x:row>
    <x:row r="5" ht="14.25" hidden="0" customHeight="1">
      <x:c r="A5" s="56" t="str">
        <x:f aca="0">IF(Dashboard!$B$36="YES","NOTE: Informational only (TRC fallback active).","NOTE: Normal mode (containment evaluated for admissible options).")</x:f>
        <x:v>NOTE: Normal mode (containment evaluated for admissible options).</x:v>
      </x:c>
      <x:c r="J5" s="1" t="s">
        <x:v>425</x:v>
      </x:c>
      <x:c r="K5" s="1" t="s">
        <x:v>668</x:v>
      </x:c>
      <x:c r="L5" s="1" t="s">
        <x:v>669</x:v>
      </x:c>
    </x:row>
    <x:row r="6" ht="14.25" hidden="0" customHeight="1">
      <x:c r="J6" s="1" t="s">
        <x:v>427</x:v>
      </x:c>
      <x:c r="K6" s="1">
        <x:f aca="0">(I_prop!B7+I_prop!C7+I_prop!D7+I_prop!E7+I_prop!F7+I_prop!G7+I_prop!H7)/7</x:f>
        <x:v>0.05603824858865244</x:v>
      </x:c>
      <x:c r="L6" s="1">
        <x:f aca="0">(I_prop!B18+I_prop!C18+I_prop!D18+I_prop!E18+I_prop!F18+I_prop!G18+I_prop!H18)/7</x:f>
        <x:v>-0.006619081095804803</x:v>
      </x:c>
    </x:row>
    <x:row r="7" ht="14.25" hidden="0" customHeight="1">
      <x:c r="A7" s="9" t="s">
        <x:v>670</x:v>
      </x:c>
      <x:c r="J7" s="1" t="s">
        <x:v>429</x:v>
      </x:c>
      <x:c r="K7" s="1">
        <x:f aca="0">(I_prop!B8+I_prop!C8+I_prop!D8+I_prop!E8+I_prop!F8+I_prop!G8+I_prop!H8)/7</x:f>
        <x:v>0.006594596604869838</x:v>
      </x:c>
      <x:c r="L7" s="1">
        <x:f aca="0">(I_prop!B19+I_prop!C19+I_prop!D19+I_prop!E19+I_prop!F19+I_prop!G19+I_prop!H19)/7</x:f>
        <x:v>-0.0026394143482197027</x:v>
      </x:c>
    </x:row>
    <x:row r="8" ht="14.25" hidden="0" customHeight="1">
      <x:c r="A8" s="9" t="s">
        <x:v>425</x:v>
      </x:c>
      <x:c r="B8" s="9" t="n">
        <x:v>0.056</x:v>
      </x:c>
      <x:c r="C8" s="9" t="s">
        <x:v>76</x:v>
      </x:c>
      <x:c r="J8" s="1" t="s">
        <x:v>430</x:v>
      </x:c>
      <x:c r="K8" s="1">
        <x:f aca="0">(I_prop!B9+I_prop!C9+I_prop!D9+I_prop!E9+I_prop!F9+I_prop!G9+I_prop!H9)/7</x:f>
        <x:v>-0.014360137305385727</x:v>
      </x:c>
      <x:c r="L8" s="1">
        <x:f aca="0">(I_prop!B20+I_prop!C20+I_prop!D20+I_prop!E20+I_prop!F20+I_prop!G20+I_prop!H20)/7</x:f>
        <x:v>0.010673339936298086</x:v>
      </x:c>
    </x:row>
    <x:row r="9" ht="14.25" hidden="0" customHeight="1">
      <x:c r="A9" s="1" t="s">
        <x:v>427</x:v>
      </x:c>
      <x:c r="B9" s="10" t="n">
        <x:v>0.0066</x:v>
      </x:c>
      <x:c r="C9" s="1" t="s">
        <x:v>36</x:v>
      </x:c>
      <x:c r="J9" s="1" t="s">
        <x:v>431</x:v>
      </x:c>
      <x:c r="K9" s="1">
        <x:f aca="0">(I_prop!B10+I_prop!C10+I_prop!D10+I_prop!E10+I_prop!F10+I_prop!G10+I_prop!H10)/7</x:f>
        <x:v>-0.012224205185128095</x:v>
      </x:c>
      <x:c r="L9" s="1">
        <x:f aca="0">(I_prop!B21+I_prop!C21+I_prop!D21+I_prop!E21+I_prop!F21+I_prop!G21+I_prop!H21)/7</x:f>
        <x:v>0.0014587793741674515</x:v>
      </x:c>
    </x:row>
    <x:row r="10" ht="14.25" hidden="0" customHeight="1">
      <x:c r="A10" s="1" t="s">
        <x:v>429</x:v>
      </x:c>
      <x:c r="B10" s="10" t="n">
        <x:v>-0.0144</x:v>
      </x:c>
      <x:c r="C10" s="1" t="s">
        <x:v>36</x:v>
      </x:c>
      <x:c r="J10" s="1" t="s">
        <x:v>432</x:v>
      </x:c>
      <x:c r="K10" s="1" t="n">
        <x:f aca="0">(I_prop!B11+I_prop!C11+I_prop!D11+I_prop!E11+I_prop!F11+I_prop!G11+I_prop!H11)/7</x:f>
        <x:v>0</x:v>
      </x:c>
      <x:c r="L10" s="1" t="n">
        <x:f aca="0">(I_prop!B22+I_prop!C22+I_prop!D22+I_prop!E22+I_prop!F22+I_prop!G22+I_prop!H22)/7</x:f>
        <x:v>0</x:v>
      </x:c>
    </x:row>
    <x:row r="11" ht="14.25" hidden="0" customHeight="1">
      <x:c r="A11" s="1" t="s">
        <x:v>430</x:v>
      </x:c>
      <x:c r="B11" s="10" t="n">
        <x:v>-0.0122</x:v>
      </x:c>
      <x:c r="C11" s="1" t="s">
        <x:v>36</x:v>
      </x:c>
      <x:c r="J11" s="1" t="s">
        <x:v>433</x:v>
      </x:c>
      <x:c r="K11" s="1" t="n">
        <x:f aca="0">(I_prop!B12+I_prop!C12+I_prop!D12+I_prop!E12+I_prop!F12+I_prop!G12+I_prop!H12)/7</x:f>
        <x:v>0</x:v>
      </x:c>
      <x:c r="L11" s="1" t="n">
        <x:f aca="0">(I_prop!B23+I_prop!C23+I_prop!D23+I_prop!E23+I_prop!F23+I_prop!G23+I_prop!H23)/7</x:f>
        <x:v>0</x:v>
      </x:c>
    </x:row>
    <x:row r="12" ht="14.25" hidden="0" customHeight="1">
      <x:c r="A12" s="1" t="s">
        <x:v>431</x:v>
      </x:c>
      <x:c r="B12" s="10" t="n">
        <x:v>0</x:v>
      </x:c>
      <x:c r="C12" s="1" t="s">
        <x:v>36</x:v>
      </x:c>
      <x:c r="J12" s="1" t="s">
        <x:v>435</x:v>
      </x:c>
      <x:c r="K12" s="1">
        <x:f aca="0">(I_prop!B13+I_prop!C13+I_prop!D13+I_prop!E13+I_prop!F13+I_prop!G13+I_prop!H13)/7</x:f>
        <x:v>0.0021880739939085544</x:v>
      </x:c>
      <x:c r="L12" s="1">
        <x:f aca="0">(I_prop!B24+I_prop!C24+I_prop!D24+I_prop!E24+I_prop!F24+I_prop!G24+I_prop!H24)/7</x:f>
        <x:v>-0.0014587793741674547</x:v>
      </x:c>
    </x:row>
    <x:row r="13" ht="14.25" hidden="0" customHeight="1">
      <x:c r="A13" s="1" t="s">
        <x:v>432</x:v>
      </x:c>
      <x:c r="B13" s="10" t="n">
        <x:v>0</x:v>
      </x:c>
      <x:c r="C13" s="1" t="s">
        <x:v>36</x:v>
      </x:c>
    </x:row>
    <x:row r="14" ht="14.25" hidden="0" customHeight="1">
      <x:c r="A14" s="1" t="s">
        <x:v>433</x:v>
      </x:c>
      <x:c r="B14" s="10" t="n">
        <x:v>0.0022</x:v>
      </x:c>
      <x:c r="C14" s="1" t="s">
        <x:v>36</x:v>
      </x:c>
      <x:c r="J14" s="1" t="s">
        <x:v>671</x:v>
      </x:c>
      <x:c r="K14" s="1" t="str">
        <x:f aca="0">IF(COUNTIF($K$6:$K$12,"&gt;="&amp;$K$3)=0,"PASS (vacuous)",IF(0&gt;=$K$4,"PASS","FAIL"))</x:f>
        <x:v>PASS</x:v>
      </x:c>
    </x:row>
    <x:row r="15" ht="14.25" hidden="0" customHeight="1">
      <x:c r="A15" s="1" t="s">
        <x:v>435</x:v>
      </x:c>
      <x:c r="B15" s="10"/>
      <x:c r="C15" s="1" t="s">
        <x:v>36</x:v>
      </x:c>
      <x:c r="J15" s="1" t="s">
        <x:v>672</x:v>
      </x:c>
      <x:c r="K15" s="1" t="str">
        <x:f aca="0">IF(COUNTIF($L$6:$L$12,"&gt;="&amp;$K$3)=0,"PASS (vacuous)",IF(0&gt;=$K$4,"PASS","FAIL"))</x:f>
        <x:v>PASS (vacuous)</x:v>
      </x:c>
    </x:row>
    <x:row r="16" ht="14.25" hidden="0" customHeight="1">
      <x:c r="A16" s="1" t="s">
        <x:v>673</x:v>
      </x:c>
    </x:row>
    <x:row r="18" ht="14.25" hidden="0" customHeight="1">
      <x:c r="A18" s="13" t="s">
        <x:v>674</x:v>
      </x:c>
    </x:row>
    <x:row r="19" ht="13.5" hidden="0" customHeight="1"/>
    <x:row r="20" ht="14.25" hidden="0" customHeight="1">
      <x:c r="A20" s="9" t="s">
        <x:v>675</x:v>
      </x:c>
    </x:row>
    <x:row r="21" ht="14.25" hidden="0" customHeight="1">
      <x:c r="A21" s="9" t="s">
        <x:v>425</x:v>
      </x:c>
      <x:c r="B21" s="9" t="n">
        <x:v>-0.0066</x:v>
      </x:c>
      <x:c r="C21" s="9" t="s">
        <x:v>36</x:v>
      </x:c>
    </x:row>
    <x:row r="22" ht="14.25" hidden="0" customHeight="1">
      <x:c r="A22" s="1" t="s">
        <x:v>427</x:v>
      </x:c>
      <x:c r="B22" s="1" t="n">
        <x:v>-0.0026</x:v>
      </x:c>
      <x:c r="C22" s="1" t="s">
        <x:v>36</x:v>
      </x:c>
    </x:row>
    <x:row r="23" ht="14.25" hidden="0" customHeight="1">
      <x:c r="A23" s="1" t="s">
        <x:v>429</x:v>
      </x:c>
      <x:c r="B23" s="1" t="n">
        <x:v>0.0107</x:v>
      </x:c>
      <x:c r="C23" s="1" t="s">
        <x:v>36</x:v>
      </x:c>
    </x:row>
    <x:row r="24" ht="14.25" hidden="0" customHeight="1">
      <x:c r="A24" s="1" t="s">
        <x:v>430</x:v>
      </x:c>
      <x:c r="B24" s="10" t="n">
        <x:v>0.0015</x:v>
      </x:c>
      <x:c r="C24" s="1" t="s">
        <x:v>36</x:v>
      </x:c>
    </x:row>
    <x:row r="25" ht="14.25" hidden="0" customHeight="1">
      <x:c r="A25" s="1" t="s">
        <x:v>431</x:v>
      </x:c>
      <x:c r="B25" s="10" t="n">
        <x:v>0</x:v>
      </x:c>
      <x:c r="C25" s="1" t="s">
        <x:v>36</x:v>
      </x:c>
    </x:row>
    <x:row r="26" ht="14.25" hidden="0" customHeight="1">
      <x:c r="A26" s="1" t="s">
        <x:v>432</x:v>
      </x:c>
      <x:c r="B26" s="10" t="n">
        <x:v>0</x:v>
      </x:c>
      <x:c r="C26" s="1" t="s">
        <x:v>36</x:v>
      </x:c>
    </x:row>
    <x:row r="27" ht="14.25" hidden="0" customHeight="1">
      <x:c r="A27" s="1" t="s">
        <x:v>433</x:v>
      </x:c>
      <x:c r="B27" s="10" t="n">
        <x:v>-0.0015</x:v>
      </x:c>
      <x:c r="C27" s="1" t="s">
        <x:v>36</x:v>
      </x:c>
    </x:row>
    <x:row r="28" ht="14.25" hidden="0" customHeight="1">
      <x:c r="A28" s="1" t="s">
        <x:v>435</x:v>
      </x:c>
      <x:c r="B28" s="10"/>
      <x:c r="C28" s="1" t="s">
        <x:v>36</x:v>
      </x:c>
    </x:row>
    <x:row r="29" ht="14.25" hidden="0" customHeight="1">
      <x:c r="A29" s="1" t="s">
        <x:v>676</x:v>
      </x:c>
      <x:c r="B29" s="10"/>
    </x:row>
    <x:row r="30" ht="14.25" hidden="0" customHeight="1">
      <x:c r="A30" s="1" t="s">
        <x:v>677</x:v>
      </x:c>
      <x:c r="B30" s="10"/>
    </x:row>
    <x:row r="31" ht="14.25" hidden="0" customHeight="1">
      <x:c r="A31" s="13" t="s">
        <x:v>677</x:v>
      </x:c>
    </x:row>
    <x:row r="32" ht="14.25" hidden="0" customHeight="1">
      <x:c r="A32" s="1" t="s">
        <x:v>678</x:v>
      </x:c>
    </x:row>
    <x:row r="33" ht="14.25" hidden="0" customHeight="1">
      <x:c r="A33" s="9" t="s">
        <x:v>679</x:v>
      </x:c>
    </x:row>
    <x:row r="34" ht="14.25" hidden="0" customHeight="1">
      <x:c r="A34" s="1" t="s">
        <x:v>680</x:v>
      </x:c>
    </x:row>
    <x:row r="35" ht="14.25" hidden="0" customHeight="1">
      <x:c r="A35" s="1" t="str">
        <x:f aca="0">IF(Dashboard!$B$36="YES","NOTE: Informational only (TRC fallback active).","NOTE: Normal mode (containment evaluated for admissible options).")</x:f>
        <x:v>NOTE: Normal mode (containment evaluated for admissible options).</x:v>
      </x:c>
    </x:row>
    <x:row r="36" ht="14.25" hidden="0" customHeight="1">
      <x:c r="A36" s="56"/>
    </x:row>
  </x:sheetData>
  <x:mergeCells>
    <x:mergeCell ref="A1:H1"/>
  </x:mergeCells>
  <x:pageMargins left="0.7" right="0.7" top="0.75" bottom="0.75" header="0.3" footer="0.3"/>
</x:worksheet>
</file>

<file path=xl/worksheets/sheet17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cols>
    <x:col min="1" max="1" width="46" hidden="0" customWidth="1"/>
  </x:cols>
  <x:sheetData>
    <x:row r="1" ht="14.25" hidden="0" customHeight="1">
      <x:c r="A1" s="26" t="s">
        <x:v>681</x:v>
      </x:c>
      <x:c r="B1" s="26"/>
      <x:c r="C1" s="26"/>
      <x:c r="D1" s="26"/>
      <x:c r="E1" s="26"/>
      <x:c r="F1" s="26"/>
      <x:c r="G1" s="26"/>
      <x:c r="H1" s="26"/>
      <x:c r="I1" s="26"/>
      <x:c r="J1" s="26"/>
    </x:row>
    <x:row r="2" ht="13.5" hidden="0" customHeight="1"/>
    <x:row r="3" ht="14.25" hidden="0" customHeight="1">
      <x:c r="A3" s="1" t="s">
        <x:v>682</x:v>
      </x:c>
    </x:row>
    <x:row r="4" ht="14.25" hidden="0" customHeight="1">
      <x:c r="A4" s="1" t="s">
        <x:v>683</x:v>
      </x:c>
    </x:row>
    <x:row r="5" ht="14.25" hidden="0" customHeight="1">
      <x:c r="A5" s="56" t="s">
        <x:v>684</x:v>
      </x:c>
      <x:c r="B5" s="10">
        <x:f aca="0">B61</x:f>
        <x:v>0.01531294271682332</x:v>
      </x:c>
    </x:row>
    <x:row r="6" ht="14.25" hidden="0" customHeight="1">
      <x:c r="A6" s="1" t="s">
        <x:v>685</x:v>
      </x:c>
      <x:c r="B6" s="10">
        <x:f aca="0">B62</x:f>
        <x:v>-0.0011223873850524822</x:v>
      </x:c>
      <x:c r="C6" s="10">
        <x:f aca="0">B61</x:f>
        <x:v>0.01531294271682332</x:v>
      </x:c>
    </x:row>
    <x:row r="7" ht="14.25" hidden="0" customHeight="1">
      <x:c r="A7" s="9" t="s">
        <x:v>686</x:v>
      </x:c>
      <x:c r="B7" s="1" t="str">
        <x:f aca="0">IF(B61&gt;B62,"A",IF(B62&gt;B61,"B","TIE"))</x:f>
        <x:v>A</x:v>
      </x:c>
      <x:c r="C7" s="10"/>
    </x:row>
    <x:row r="8" ht="13.5" hidden="0" customHeight="1"/>
    <x:row r="9" ht="14.25" hidden="0" customHeight="1">
      <x:c r="A9" s="1" t="s">
        <x:v>687</x:v>
      </x:c>
    </x:row>
    <x:row r="10" ht="14.25" hidden="0" customHeight="1">
      <x:c r="A10" s="1" t="s">
        <x:v>688</x:v>
      </x:c>
      <x:c r="B10" s="1" t="n">
        <x:v>0.138</x:v>
      </x:c>
      <x:c r="C10" s="59" t="n">
        <x:v>0.00282</x:v>
      </x:c>
    </x:row>
    <x:row r="11" ht="14.25" hidden="0" customHeight="1">
      <x:c r="A11" s="1" t="s">
        <x:v>689</x:v>
      </x:c>
      <x:c r="B11" s="1" t="n">
        <x:v>0.098</x:v>
      </x:c>
      <x:c r="C11" s="59" t="n">
        <x:v>0.002</x:v>
      </x:c>
    </x:row>
    <x:row r="12" ht="14.25" hidden="0" customHeight="1">
      <x:c r="A12" s="1" t="s">
        <x:v>690</x:v>
      </x:c>
      <x:c r="B12" s="10">
        <x:f aca="0">INDEX(I_prop!$B$7:$H$13, MATCH("U2", I_prop!$A$7:$A$13,0), MATCH("D1", I_prop!$B$6:$H$6,0))</x:f>
        <x:v>0.046162176234088866</x:v>
      </x:c>
      <x:c r="C12" s="59"/>
    </x:row>
    <x:row r="13" ht="14.25" hidden="0" customHeight="1">
      <x:c r="A13" s="1" t="s">
        <x:v>691</x:v>
      </x:c>
      <x:c r="B13" s="10">
        <x:f aca="0">INDEX(I_prop!$B$7:$H$13, MATCH("U3", I_prop!$A$7:$A$13,0), MATCH("D1", I_prop!$B$6:$H$6,0))</x:f>
        <x:v>-0.01979527432216163</x:v>
      </x:c>
      <x:c r="C13" s="59"/>
    </x:row>
    <x:row r="14" ht="14.25" hidden="0" customHeight="1">
      <x:c r="A14" s="1" t="s">
        <x:v>692</x:v>
      </x:c>
      <x:c r="B14" s="10">
        <x:f aca="0">INDEX(I_prop!$B$7:$H$13, MATCH("U3", I_prop!$A$7:$A$13,0), MATCH("D3", I_prop!$B$6:$H$6,0))</x:f>
        <x:v>-0.08072568681553846</x:v>
      </x:c>
      <x:c r="C14" s="59"/>
    </x:row>
    <x:row r="15" ht="14.25" hidden="0" customHeight="1">
      <x:c r="A15" s="1" t="s">
        <x:v>693</x:v>
      </x:c>
      <x:c r="B15" s="10">
        <x:f aca="0">INDEX(I_prop!$B$7:$H$13, MATCH("U4", I_prop!$A$7:$A$13,0), MATCH("D1", I_prop!$B$6:$H$6,0))</x:f>
        <x:v>-0.08556943629589667</x:v>
      </x:c>
      <x:c r="C15" s="59"/>
    </x:row>
    <x:row r="16" ht="14.25" hidden="0" customHeight="1">
      <x:c r="A16" s="1" t="s">
        <x:v>694</x:v>
      </x:c>
      <x:c r="B16" s="10">
        <x:f aca="0">INDEX(I_prop!$B$7:$H$13, MATCH("U7", I_prop!$A$7:$A$13,0), MATCH("D7", I_prop!$B$6:$H$6,0))</x:f>
        <x:v>0.01531651795735988</x:v>
      </x:c>
      <x:c r="C16" s="59"/>
    </x:row>
    <x:row r="17" ht="14.25" hidden="0" customHeight="1">
      <x:c r="A17" s="1" t="s">
        <x:v>695</x:v>
      </x:c>
      <x:c r="B17">
        <x:f aca="0">B61</x:f>
        <x:v>0.01531294271682332</x:v>
      </x:c>
    </x:row>
    <x:row r="18" ht="14.25" hidden="0" customHeight="1">
      <x:c r="A18" s="19"/>
    </x:row>
    <x:row r="19" ht="13.5" hidden="0" customHeight="1"/>
    <x:row r="20" ht="13.5" hidden="0" customHeight="1"/>
    <x:row r="21" ht="14.25" hidden="0" customHeight="1">
      <x:c r="A21" s="9" t="s">
        <x:v>696</x:v>
      </x:c>
    </x:row>
    <x:row r="22" ht="14.25" hidden="0" customHeight="1">
      <x:c r="A22" s="1" t="s">
        <x:v>688</x:v>
      </x:c>
      <x:c r="B22" s="1" t="n">
        <x:v>-0.073</x:v>
      </x:c>
      <x:c r="C22" s="59" t="n">
        <x:v>-0.00149</x:v>
      </x:c>
    </x:row>
    <x:row r="23" ht="14.25" hidden="0" customHeight="1">
      <x:c r="A23" s="1" t="s">
        <x:v>690</x:v>
      </x:c>
      <x:c r="B23" s="10">
        <x:f aca="0">INDEX(I_prop!$B$18:$H$24, MATCH("U2", I_prop!$A$18:$A$24,0), MATCH("D1", I_prop!$B$17:$H$17,0))</x:f>
        <x:v>-0.01847590043753792</x:v>
      </x:c>
      <x:c r="C23" s="59"/>
    </x:row>
    <x:row r="24" ht="14.25" hidden="0" customHeight="1">
      <x:c r="A24" s="1" t="s">
        <x:v>691</x:v>
      </x:c>
      <x:c r="B24" s="10">
        <x:f aca="0">INDEX(I_prop!$B$18:$H$24, MATCH("U3", I_prop!$A$18:$A$24,0), MATCH("D1", I_prop!$B$17:$H$17,0))</x:f>
        <x:v>0.013197807340577457</x:v>
      </x:c>
      <x:c r="C24" s="59"/>
    </x:row>
    <x:row r="25" ht="14.25" hidden="0" customHeight="1">
      <x:c r="A25" s="1" t="s">
        <x:v>692</x:v>
      </x:c>
      <x:c r="B25" s="10">
        <x:f aca="0">INDEX(I_prop!$B$18:$H$24, MATCH("U3", I_prop!$A$18:$A$24,0), MATCH("D3", I_prop!$B$17:$H$17,0))</x:f>
        <x:v>0.06151557221350915</x:v>
      </x:c>
      <x:c r="C25" s="59"/>
    </x:row>
    <x:row r="26" ht="14.25" hidden="0" customHeight="1">
      <x:c r="A26" s="1" t="s">
        <x:v>693</x:v>
      </x:c>
      <x:c r="B26" s="10">
        <x:f aca="0">INDEX(I_prop!$B$18:$H$24, MATCH("U4", I_prop!$A$18:$A$24,0), MATCH("D1", I_prop!$B$17:$H$17,0))</x:f>
        <x:v>0.010211455619172161</x:v>
      </x:c>
      <x:c r="C26" s="59"/>
    </x:row>
    <x:row r="27" ht="14.25" hidden="0" customHeight="1">
      <x:c r="A27" s="1" t="s">
        <x:v>694</x:v>
      </x:c>
      <x:c r="B27" s="10">
        <x:f aca="0">INDEX(I_prop!$B$18:$H$24, MATCH("U7", I_prop!$A$18:$A$24,0), MATCH("D7", I_prop!$B$17:$H$17,0))</x:f>
        <x:v>-0.010211455619172184</x:v>
      </x:c>
      <x:c r="C27" s="59"/>
    </x:row>
    <x:row r="28" ht="14.25" hidden="0" customHeight="1">
      <x:c r="A28" s="1" t="s">
        <x:v>697</x:v>
      </x:c>
      <x:c r="B28">
        <x:f aca="0">B62</x:f>
        <x:v>-0.0011223873850524822</x:v>
      </x:c>
    </x:row>
    <x:row r="29" ht="14.25" hidden="0" customHeight="1">
      <x:c r="A29" s="19"/>
    </x:row>
    <x:row r="30" ht="13.5" hidden="0" customHeight="1"/>
    <x:row r="31" ht="13.5" hidden="0" customHeight="1"/>
    <x:row r="32" ht="14.25" hidden="0" customHeight="1">
      <x:c r="A32" s="9" t="s">
        <x:v>698</x:v>
      </x:c>
    </x:row>
    <x:row r="33" ht="14.25" hidden="0" customHeight="1">
      <x:c r="A33" s="1" t="s">
        <x:v>684</x:v>
      </x:c>
      <x:c r="B33">
        <x:f aca="0">B61</x:f>
        <x:v>0.01531294271682332</x:v>
      </x:c>
    </x:row>
    <x:row r="34" ht="14.25" hidden="0" customHeight="1">
      <x:c r="A34" s="1" t="s">
        <x:v>685</x:v>
      </x:c>
      <x:c r="B34">
        <x:f aca="0">B62</x:f>
        <x:v>-0.0011223873850524822</x:v>
      </x:c>
    </x:row>
    <x:row r="35" ht="14.25" hidden="0" customHeight="1">
      <x:c r="A35" s="1" t="s">
        <x:v>699</x:v>
      </x:c>
      <x:c r="B35">
        <x:f aca="0">ABS(B61-B62)</x:f>
        <x:v>0.016435330101875804</x:v>
      </x:c>
    </x:row>
    <x:row r="36" ht="14.25" hidden="0" customHeight="1">
      <x:c r="A36" s="1" t="s">
        <x:v>700</x:v>
      </x:c>
      <x:c r="B36" t="n">
        <x:f aca="0">CANON!B26</x:f>
        <x:v>0.02</x:v>
      </x:c>
    </x:row>
    <x:row r="37" ht="14.25" hidden="0" customHeight="1">
      <x:c r="A37" s="1" t="str">
        <x:f aca="0">"Gap/√(2σ²+ε) = "&amp;TEXT(ABS(CANON!B63-CANON!B64)/SQRT(2*CANON!B26^2+0.000001),"0.000")&amp;" &lt; δ = "&amp;TEXT(CANON!B22,"0.###")</x:f>
        <x:v>Gap/√(2σ²+ε) = 0.581 &lt; δ = 2.</x:v>
      </x:c>
    </x:row>
    <x:row r="38" ht="14.25" hidden="0" customHeight="1">
      <x:c r="A38" s="1" t="s">
        <x:v>701</x:v>
      </x:c>
      <x:c r="B38" t="str">
        <x:f aca="0">IF(AND(CANON!B10&gt;=2,ABS(CANON!B63-CANON!B64)/SQRT(2*CANON!B26^2+0.000001)&lt;CANON!B22),"NON-DECISIVE","DECISIVE")</x:f>
        <x:v>NON-DECISIVE</x:v>
      </x:c>
    </x:row>
    <x:row r="39" ht="14.25" hidden="0" customHeight="1">
      <x:c r="A39" s="56" t="s">
        <x:v>702</x:v>
      </x:c>
      <x:c r="B39" t="str">
        <x:f aca="0">IF(B61&gt;B62,"Option A",IF(B62&gt;B61,"Option B","Tie"))&amp;IF(B38="NON-DECISIVE"," (proceed to tie-break)","")</x:f>
        <x:v>Option A (proceed to tie-break)</x:v>
      </x:c>
    </x:row>
    <x:row r="40" ht="13.5" hidden="0" customHeight="1"/>
    <x:row r="41" ht="14.25" hidden="0" customHeight="1">
      <x:c r="A41" s="9" t="s">
        <x:v>703</x:v>
      </x:c>
    </x:row>
    <x:row r="42" ht="14.25" hidden="0" customHeight="1">
      <x:c r="A42" s="1" t="s">
        <x:v>704</x:v>
      </x:c>
      <x:c r="B42" t="str">
        <x:f aca="0">"RLS would favor "&amp;IF(B61&gt;B62,"A",IF(B62&gt;B61,"B","TIE"))&amp;IF(B38="NON-DECISIVE"," (higher score) but gap not decisive"," decisively")</x:f>
        <x:v>RLS would favor A (higher score) but gap not decisive</x:v>
      </x:c>
    </x:row>
    <x:row r="43" ht="14.25" hidden="0" customHeight="1">
      <x:c r="A43" s="56"/>
    </x:row>
    <x:row r="44" ht="14.25" hidden="0" customHeight="1">
      <x:c r="A44" s="1" t="s">
        <x:v>705</x:v>
      </x:c>
    </x:row>
    <x:row r="45" ht="13.5" hidden="0" customHeight="1"/>
    <x:row r="46" ht="13.5" hidden="0" customHeight="1"/>
    <x:row r="47" ht="13.5" hidden="0" customHeight="1"/>
    <x:row r="48" ht="13.5" hidden="0" customHeight="1"/>
    <x:row r="49" ht="13.5" hidden="0" customHeight="1"/>
    <x:row r="50" ht="24" hidden="0" customHeight="1">
      <x:c r="A50" s="60" t="s">
        <x:v>706</x:v>
      </x:c>
    </x:row>
    <x:row r="51" ht="27.75" hidden="0" customHeight="1">
      <x:c r="A51" s="60" t="s">
        <x:v>707</x:v>
      </x:c>
      <x:c r="B51" s="1" t="s">
        <x:v>438</x:v>
      </x:c>
      <x:c r="C51" s="1" t="s">
        <x:v>428</x:v>
      </x:c>
      <x:c r="D51" s="1" t="s">
        <x:v>437</x:v>
      </x:c>
      <x:c r="E51" s="1" t="s">
        <x:v>439</x:v>
      </x:c>
      <x:c r="F51" s="1" t="s">
        <x:v>436</x:v>
      </x:c>
      <x:c r="G51" s="1" t="s">
        <x:v>538</x:v>
      </x:c>
      <x:c r="H51" s="1" t="s">
        <x:v>434</x:v>
      </x:c>
      <x:c r="I51" s="1" t="s">
        <x:v>708</x:v>
      </x:c>
    </x:row>
    <x:row r="52" ht="14.25" hidden="0" customHeight="1">
      <x:c r="A52" s="1" t="s">
        <x:v>425</x:v>
      </x:c>
      <x:c r="B52" s="10" t="n">
        <x:f aca="0">Parameters!$B$48</x:f>
        <x:v>0.142857142857143</x:v>
      </x:c>
      <x:c r="C52" s="10" t="n">
        <x:f aca="0">Parameters!$B$49</x:f>
        <x:v>0.142857142857143</x:v>
      </x:c>
      <x:c r="D52" s="10" t="n">
        <x:f aca="0">Parameters!$B$50</x:f>
        <x:v>0.142857142857143</x:v>
      </x:c>
      <x:c r="E52" s="10" t="n">
        <x:f aca="0">Parameters!$B$51</x:f>
        <x:v>0.142857142857143</x:v>
      </x:c>
      <x:c r="F52" s="10" t="n">
        <x:f aca="0">Parameters!$B$52</x:f>
        <x:v>0.142857142857143</x:v>
      </x:c>
      <x:c r="G52" s="10" t="n">
        <x:f aca="0">Parameters!$B$53</x:f>
        <x:v>0.142857142857143</x:v>
      </x:c>
      <x:c r="H52" s="10" t="n">
        <x:f aca="0">Parameters!$B$54</x:f>
        <x:v>0.142857142857143</x:v>
      </x:c>
    </x:row>
    <x:row r="53" ht="14.25" hidden="0" customHeight="1">
      <x:c r="A53" s="1" t="s">
        <x:v>427</x:v>
      </x:c>
      <x:c r="B53" s="10" t="n">
        <x:f aca="0">$I53*B52</x:f>
        <x:v>0.043952380952381</x:v>
      </x:c>
      <x:c r="C53" s="10" t="n">
        <x:f aca="0">$I53*C52</x:f>
        <x:v>0.043952380952381</x:v>
      </x:c>
      <x:c r="D53" s="10" t="n">
        <x:f aca="0">$I53*D52</x:f>
        <x:v>0.043952380952381</x:v>
      </x:c>
      <x:c r="E53" s="10" t="n">
        <x:f aca="0">$I53*E52</x:f>
        <x:v>0.043952380952381</x:v>
      </x:c>
      <x:c r="F53" s="10" t="n">
        <x:f aca="0">$I53*F52</x:f>
        <x:v>0.043952380952381</x:v>
      </x:c>
      <x:c r="G53" s="10" t="n">
        <x:f aca="0">$I53*G52</x:f>
        <x:v>0.043952380952381</x:v>
      </x:c>
      <x:c r="H53" s="10" t="n">
        <x:f aca="0">$I53*H52</x:f>
        <x:v>0.043952380952381</x:v>
      </x:c>
      <x:c r="I53" s="10">
        <x:f aca="0">Parameters!$B$38</x:f>
        <x:v>0.3076666666666667</x:v>
      </x:c>
    </x:row>
    <x:row r="54" ht="14.25" hidden="0" customHeight="1">
      <x:c r="A54" s="1" t="s">
        <x:v>429</x:v>
      </x:c>
      <x:c r="B54" s="10">
        <x:f aca="0">$I54*B52</x:f>
        <x:v>0.02233333333333335</x:v>
      </x:c>
      <x:c r="C54" s="10">
        <x:f aca="0">$I54*C52</x:f>
        <x:v>0.02233333333333335</x:v>
      </x:c>
      <x:c r="D54" s="10">
        <x:f aca="0">$I54*D52</x:f>
        <x:v>0.02233333333333335</x:v>
      </x:c>
      <x:c r="E54" s="10">
        <x:f aca="0">$I54*E52</x:f>
        <x:v>0.02233333333333335</x:v>
      </x:c>
      <x:c r="F54" s="10">
        <x:f aca="0">$I54*F52</x:f>
        <x:v>0.02233333333333335</x:v>
      </x:c>
      <x:c r="G54" s="10">
        <x:f aca="0">$I54*G52</x:f>
        <x:v>0.02233333333333335</x:v>
      </x:c>
      <x:c r="H54" s="10">
        <x:f aca="0">$I54*H52</x:f>
        <x:v>0.02233333333333335</x:v>
      </x:c>
      <x:c r="I54" s="10">
        <x:f aca="0">Parameters!$B$39</x:f>
        <x:v>0.15633333333333332</x:v>
      </x:c>
    </x:row>
    <x:row r="55" ht="14.25" hidden="0" customHeight="1">
      <x:c r="A55" s="1" t="s">
        <x:v>430</x:v>
      </x:c>
      <x:c r="B55" s="10">
        <x:f aca="0">$I55*B52</x:f>
        <x:v>0.017476190476190496</x:v>
      </x:c>
      <x:c r="C55" s="10">
        <x:f aca="0">$I55*C52</x:f>
        <x:v>0.017476190476190496</x:v>
      </x:c>
      <x:c r="D55" s="10">
        <x:f aca="0">$I55*D52</x:f>
        <x:v>0.017476190476190496</x:v>
      </x:c>
      <x:c r="E55" s="10">
        <x:f aca="0">$I55*E52</x:f>
        <x:v>0.017476190476190496</x:v>
      </x:c>
      <x:c r="F55" s="10">
        <x:f aca="0">$I55*F52</x:f>
        <x:v>0.017476190476190496</x:v>
      </x:c>
      <x:c r="G55" s="10">
        <x:f aca="0">$I55*G52</x:f>
        <x:v>0.017476190476190496</x:v>
      </x:c>
      <x:c r="H55" s="10">
        <x:f aca="0">$I55*H52</x:f>
        <x:v>0.017476190476190496</x:v>
      </x:c>
      <x:c r="I55" s="10">
        <x:f aca="0">Parameters!$B$40</x:f>
        <x:v>0.12233333333333335</x:v>
      </x:c>
    </x:row>
    <x:row r="56" ht="14.25" hidden="0" customHeight="1">
      <x:c r="A56" s="1" t="s">
        <x:v>431</x:v>
      </x:c>
      <x:c r="B56" s="10">
        <x:f aca="0">$I56*B52</x:f>
        <x:v>0.016666666666666684</x:v>
      </x:c>
      <x:c r="C56" s="10">
        <x:f aca="0">$I56*C52</x:f>
        <x:v>0.016666666666666684</x:v>
      </x:c>
      <x:c r="D56" s="10">
        <x:f aca="0">$I56*D52</x:f>
        <x:v>0.016666666666666684</x:v>
      </x:c>
      <x:c r="E56" s="10">
        <x:f aca="0">$I56*E52</x:f>
        <x:v>0.016666666666666684</x:v>
      </x:c>
      <x:c r="F56" s="10">
        <x:f aca="0">$I56*F52</x:f>
        <x:v>0.016666666666666684</x:v>
      </x:c>
      <x:c r="G56" s="10">
        <x:f aca="0">$I56*G52</x:f>
        <x:v>0.016666666666666684</x:v>
      </x:c>
      <x:c r="H56" s="10">
        <x:f aca="0">$I56*H52</x:f>
        <x:v>0.016666666666666684</x:v>
      </x:c>
      <x:c r="I56" s="10">
        <x:f aca="0">Parameters!$B$41</x:f>
        <x:v>0.11666666666666667</x:v>
      </x:c>
    </x:row>
    <x:row r="57" ht="14.25" hidden="0" customHeight="1">
      <x:c r="A57" s="1" t="s">
        <x:v>432</x:v>
      </x:c>
      <x:c r="B57" s="10">
        <x:f aca="0">$I57*B52</x:f>
        <x:v>0.01304761904761906</x:v>
      </x:c>
      <x:c r="C57" s="10">
        <x:f aca="0">$I57*C52</x:f>
        <x:v>0.01304761904761906</x:v>
      </x:c>
      <x:c r="D57" s="10">
        <x:f aca="0">$I57*D52</x:f>
        <x:v>0.01304761904761906</x:v>
      </x:c>
      <x:c r="E57" s="10">
        <x:f aca="0">$I57*E52</x:f>
        <x:v>0.01304761904761906</x:v>
      </x:c>
      <x:c r="F57" s="10">
        <x:f aca="0">$I57*F52</x:f>
        <x:v>0.01304761904761906</x:v>
      </x:c>
      <x:c r="G57" s="10">
        <x:f aca="0">$I57*G52</x:f>
        <x:v>0.01304761904761906</x:v>
      </x:c>
      <x:c r="H57" s="10">
        <x:f aca="0">$I57*H52</x:f>
        <x:v>0.01304761904761906</x:v>
      </x:c>
      <x:c r="I57" s="10">
        <x:f aca="0">Parameters!$B$42</x:f>
        <x:v>0.09133333333333334</x:v>
      </x:c>
    </x:row>
    <x:row r="58" ht="14.25" hidden="0" customHeight="1">
      <x:c r="A58" s="1" t="s">
        <x:v>433</x:v>
      </x:c>
      <x:c r="B58" s="10">
        <x:f aca="0">$I58*B52</x:f>
        <x:v>0.014771428571428586</x:v>
      </x:c>
      <x:c r="C58" s="10">
        <x:f aca="0">$I58*C52</x:f>
        <x:v>0.014771428571428586</x:v>
      </x:c>
      <x:c r="D58" s="10">
        <x:f aca="0">$I58*D52</x:f>
        <x:v>0.014771428571428586</x:v>
      </x:c>
      <x:c r="E58" s="10">
        <x:f aca="0">$I58*E52</x:f>
        <x:v>0.014771428571428586</x:v>
      </x:c>
      <x:c r="F58" s="10">
        <x:f aca="0">$I58*F52</x:f>
        <x:v>0.014771428571428586</x:v>
      </x:c>
      <x:c r="G58" s="10">
        <x:f aca="0">$I58*G52</x:f>
        <x:v>0.014771428571428586</x:v>
      </x:c>
      <x:c r="H58" s="10">
        <x:f aca="0">$I58*H52</x:f>
        <x:v>0.014771428571428586</x:v>
      </x:c>
      <x:c r="I58" s="10" t="n">
        <x:f aca="0">Parameters!$B$43</x:f>
        <x:v>0.1034</x:v>
      </x:c>
    </x:row>
    <x:row r="59" ht="14.25" hidden="0" customHeight="1">
      <x:c r="A59" s="1" t="s">
        <x:v>435</x:v>
      </x:c>
      <x:c r="B59" s="10">
        <x:f aca="0">$I59*B52</x:f>
        <x:v>0.014609523809523824</x:v>
      </x:c>
      <x:c r="C59" s="10">
        <x:f aca="0">$I59*C52</x:f>
        <x:v>0.014609523809523824</x:v>
      </x:c>
      <x:c r="D59" s="10">
        <x:f aca="0">$I59*D52</x:f>
        <x:v>0.014609523809523824</x:v>
      </x:c>
      <x:c r="E59" s="10">
        <x:f aca="0">$I59*E52</x:f>
        <x:v>0.014609523809523824</x:v>
      </x:c>
      <x:c r="F59" s="10">
        <x:f aca="0">$I59*F52</x:f>
        <x:v>0.014609523809523824</x:v>
      </x:c>
      <x:c r="G59" s="10">
        <x:f aca="0">$I59*G52</x:f>
        <x:v>0.014609523809523824</x:v>
      </x:c>
      <x:c r="H59" s="10">
        <x:f aca="0">$I59*H52</x:f>
        <x:v>0.014609523809523824</x:v>
      </x:c>
      <x:c r="I59" s="10">
        <x:f aca="0">Parameters!$B$44</x:f>
        <x:v>0.10226666666666667</x:v>
      </x:c>
    </x:row>
    <x:row r="60" ht="13.5" hidden="0" customHeight="1"/>
    <x:row r="61" ht="14.25" hidden="0" customHeight="1">
      <x:c r="A61" s="1" t="s">
        <x:v>684</x:v>
      </x:c>
      <x:c r="B61" s="10">
        <x:f aca="0">SUMPRODUCT(I_prop!$B$7:$H$13, $B$53:$H$59)</x:f>
        <x:v>0.01531294271682332</x:v>
      </x:c>
    </x:row>
    <x:row r="62" ht="14.25" hidden="0" customHeight="1">
      <x:c r="A62" s="1" t="s">
        <x:v>685</x:v>
      </x:c>
      <x:c r="B62" s="10">
        <x:f aca="0">SUMPRODUCT(I_prop!$B$18:$H$24, $B$53:$H$59)</x:f>
        <x:v>-0.0011223873850524822</x:v>
      </x:c>
    </x:row>
    <x:row r="63" ht="14.25" hidden="0" customHeight="1">
      <x:c r="A63" s="1" t="s">
        <x:v>709</x:v>
      </x:c>
      <x:c r="B63" s="1" t="str">
        <x:f aca="0">IF(B61&gt;B62,"A",IF(B62&gt;B61,"B","TIE"))</x:f>
        <x:v>A</x:v>
      </x:c>
    </x:row>
  </x:sheetData>
  <x:mergeCells>
    <x:mergeCell ref="A1:J1"/>
  </x:mergeCells>
  <x:pageMargins left="0.7" right="0.7" top="0.75" bottom="0.75" header="0.3" footer="0.3"/>
</x:worksheet>
</file>

<file path=xl/worksheets/sheet18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sheetData>
    <x:row r="1" ht="14.25" hidden="0" customHeight="1">
      <x:c r="A1" s="26" t="s">
        <x:v>710</x:v>
      </x:c>
      <x:c r="B1" s="26"/>
      <x:c r="C1" s="26"/>
      <x:c r="D1" s="26"/>
      <x:c r="E1" s="26"/>
      <x:c r="F1" s="26"/>
      <x:c r="G1" s="26"/>
      <x:c r="H1" s="26"/>
    </x:row>
    <x:row r="2" ht="13.5" hidden="0" customHeight="1"/>
    <x:row r="3" ht="14.25" hidden="0" customHeight="1">
      <x:c r="A3" s="1" t="s">
        <x:v>711</x:v>
      </x:c>
    </x:row>
    <x:row r="4" ht="14.25" hidden="0" customHeight="1">
      <x:c r="A4" s="1" t="s">
        <x:v>712</x:v>
      </x:c>
    </x:row>
    <x:row r="5" ht="14.25" hidden="0" customHeight="1">
      <x:c r="A5" s="1" t="s">
        <x:v>713</x:v>
      </x:c>
    </x:row>
    <x:row r="6" ht="14.25" hidden="0" customHeight="1">
      <x:c r="A6" s="56"/>
    </x:row>
    <x:row r="7" ht="13.5" hidden="0" customHeight="1"/>
    <x:row r="8" ht="14.25" hidden="0" customHeight="1">
      <x:c r="A8" s="9" t="s">
        <x:v>714</x:v>
      </x:c>
    </x:row>
    <x:row r="9" ht="14.25" hidden="0" customHeight="1">
      <x:c r="A9" s="1" t="s">
        <x:v>715</x:v>
      </x:c>
    </x:row>
    <x:row r="10" ht="14.25" hidden="0" customHeight="1">
      <x:c r="A10" s="1" t="s">
        <x:v>716</x:v>
      </x:c>
    </x:row>
    <x:row r="11" ht="14.25" hidden="0" customHeight="1">
      <x:c r="A11" s="1" t="s">
        <x:v>717</x:v>
      </x:c>
    </x:row>
    <x:row r="12" ht="14.25" hidden="0" customHeight="1">
      <x:c r="A12" s="1" t="s">
        <x:v>718</x:v>
      </x:c>
    </x:row>
    <x:row r="13" ht="14.25" hidden="0" customHeight="1">
      <x:c r="A13" s="9" t="s">
        <x:v>425</x:v>
      </x:c>
      <x:c r="B13" s="9" t="s">
        <x:v>719</x:v>
      </x:c>
      <x:c r="C13" s="9" t="s">
        <x:v>720</x:v>
      </x:c>
      <x:c r="D13" s="9" t="s">
        <x:v>721</x:v>
      </x:c>
      <x:c r="E13" s="9" t="s">
        <x:v>722</x:v>
      </x:c>
      <x:c r="F13" s="9" t="s">
        <x:v>723</x:v>
      </x:c>
    </x:row>
    <x:row r="14" ht="14.25" hidden="0" customHeight="1">
      <x:c r="A14" s="1" t="s">
        <x:v>427</x:v>
      </x:c>
      <x:c r="B14" s="1" t="n">
        <x:v>0.7</x:v>
      </x:c>
      <x:c r="C14" s="1" t="n">
        <x:v>0.7</x:v>
      </x:c>
      <x:c r="D14" s="1" t="n">
        <x:v>0.7</x:v>
      </x:c>
      <x:c r="E14" s="1" t="n">
        <x:v>1</x:v>
      </x:c>
      <x:c r="F14" s="10">
        <x:f aca="0">AVERAGE(B14:E14)</x:f>
        <x:v>0.7749999999999999</x:v>
      </x:c>
    </x:row>
    <x:row r="15" ht="14.25" hidden="0" customHeight="1">
      <x:c r="A15" s="1" t="s">
        <x:v>429</x:v>
      </x:c>
      <x:c r="B15" s="1" t="n">
        <x:v>0.7</x:v>
      </x:c>
      <x:c r="C15" s="1" t="n">
        <x:v>0.7</x:v>
      </x:c>
      <x:c r="D15" s="1" t="n">
        <x:v>0.7</x:v>
      </x:c>
      <x:c r="E15" s="1" t="n">
        <x:v>0.7</x:v>
      </x:c>
      <x:c r="F15" s="10" t="n">
        <x:f aca="0">AVERAGE(B15:E15)</x:f>
        <x:v>0.7</x:v>
      </x:c>
    </x:row>
    <x:row r="16" ht="14.25" hidden="0" customHeight="1">
      <x:c r="A16" s="1" t="s">
        <x:v>430</x:v>
      </x:c>
      <x:c r="B16" s="1" t="n">
        <x:v>0.7</x:v>
      </x:c>
      <x:c r="C16" s="1" t="n">
        <x:v>0.7</x:v>
      </x:c>
      <x:c r="D16" s="1" t="n">
        <x:v>0.7</x:v>
      </x:c>
      <x:c r="E16" s="1" t="n">
        <x:v>0.7</x:v>
      </x:c>
      <x:c r="F16" s="10" t="n">
        <x:f aca="0">AVERAGE(B16:E16)</x:f>
        <x:v>0.7</x:v>
      </x:c>
    </x:row>
    <x:row r="17" ht="14.25" hidden="0" customHeight="1">
      <x:c r="A17" s="1" t="s">
        <x:v>431</x:v>
      </x:c>
      <x:c r="B17" s="1" t="n">
        <x:v>0.7</x:v>
      </x:c>
      <x:c r="C17" s="1" t="n">
        <x:v>0.7</x:v>
      </x:c>
      <x:c r="D17" s="1" t="n">
        <x:v>0.7</x:v>
      </x:c>
      <x:c r="E17" s="1" t="n">
        <x:v>0.7</x:v>
      </x:c>
      <x:c r="F17" s="10" t="n">
        <x:f aca="0">AVERAGE(B17:E17)</x:f>
        <x:v>0.7</x:v>
      </x:c>
    </x:row>
    <x:row r="18" ht="14.25" hidden="0" customHeight="1">
      <x:c r="A18" s="1" t="s">
        <x:v>432</x:v>
      </x:c>
      <x:c r="B18" s="1" t="n">
        <x:v>0.7</x:v>
      </x:c>
      <x:c r="C18" s="1" t="n">
        <x:v>0.7</x:v>
      </x:c>
      <x:c r="D18" s="1" t="n">
        <x:v>0.7</x:v>
      </x:c>
      <x:c r="E18" s="1" t="n">
        <x:v>0.7</x:v>
      </x:c>
      <x:c r="F18" s="10" t="n">
        <x:f aca="0">AVERAGE(B18:E18)</x:f>
        <x:v>0.7</x:v>
      </x:c>
    </x:row>
    <x:row r="19" ht="14.25" hidden="0" customHeight="1">
      <x:c r="A19" s="1" t="s">
        <x:v>433</x:v>
      </x:c>
      <x:c r="B19" s="1" t="n">
        <x:v>0.7</x:v>
      </x:c>
      <x:c r="C19" s="1" t="n">
        <x:v>0.7</x:v>
      </x:c>
      <x:c r="D19" s="1" t="n">
        <x:v>0.7</x:v>
      </x:c>
      <x:c r="E19" s="1" t="n">
        <x:v>0.7</x:v>
      </x:c>
      <x:c r="F19" s="10" t="n">
        <x:f aca="0">AVERAGE(B19:E19)</x:f>
        <x:v>0.7</x:v>
      </x:c>
    </x:row>
    <x:row r="20" ht="14.25" hidden="0" customHeight="1">
      <x:c r="A20" s="1" t="s">
        <x:v>435</x:v>
      </x:c>
      <x:c r="B20" s="1" t="n">
        <x:v>0.7</x:v>
      </x:c>
      <x:c r="C20" s="1" t="n">
        <x:v>0.7</x:v>
      </x:c>
      <x:c r="D20" s="1" t="n">
        <x:v>0.7</x:v>
      </x:c>
      <x:c r="E20" s="1" t="n">
        <x:v>0.7</x:v>
      </x:c>
      <x:c r="F20" s="10" t="n">
        <x:f aca="0">AVERAGE(B20:E20)</x:f>
        <x:v>0.7</x:v>
      </x:c>
    </x:row>
    <x:row r="21" ht="13.5" hidden="0" customHeight="1"/>
    <x:row r="22" ht="14.25" hidden="0" customHeight="1">
      <x:c r="A22" s="9" t="s">
        <x:v>724</x:v>
      </x:c>
      <x:c r="B22" s="10">
        <x:f aca="0">AVERAGE(F14:F20)</x:f>
        <x:v>0.7107142857142857</x:v>
      </x:c>
    </x:row>
    <x:row r="23" ht="14.25" hidden="0" customHeight="1">
      <x:c r="A23" s="1" t="s">
        <x:v>725</x:v>
      </x:c>
    </x:row>
    <x:row r="24" ht="14.25" hidden="0" customHeight="1">
      <x:c r="A24" s="1" t="s">
        <x:v>726</x:v>
      </x:c>
    </x:row>
    <x:row r="25" ht="13.5" hidden="0" customHeight="1"/>
    <x:row r="26" ht="14.25" hidden="0" customHeight="1">
      <x:c r="A26" s="9" t="s">
        <x:v>727</x:v>
      </x:c>
    </x:row>
    <x:row r="27" ht="14.25" hidden="0" customHeight="1">
      <x:c r="A27" s="1" t="s">
        <x:v>728</x:v>
      </x:c>
    </x:row>
    <x:row r="28" ht="14.25" hidden="0" customHeight="1">
      <x:c r="A28" s="13" t="s">
        <x:v>729</x:v>
      </x:c>
    </x:row>
    <x:row r="29" ht="14.25" hidden="0" customHeight="1">
      <x:c r="A29" s="1" t="s">
        <x:v>730</x:v>
      </x:c>
    </x:row>
    <x:row r="30" ht="14.25" hidden="0" customHeight="1">
      <x:c r="A30" s="9" t="s">
        <x:v>731</x:v>
      </x:c>
    </x:row>
    <x:row r="31" ht="14.25" hidden="0" customHeight="1">
      <x:c r="A31" s="56" t="s">
        <x:v>732</x:v>
      </x:c>
    </x:row>
    <x:row r="32" ht="14.25" hidden="0" customHeight="1">
      <x:c r="A32" s="1" t="s">
        <x:v>733</x:v>
      </x:c>
    </x:row>
  </x:sheetData>
  <x:mergeCells>
    <x:mergeCell ref="A1:H1"/>
  </x:mergeCells>
  <x:pageMargins left="0.7" right="0.7" top="0.75" bottom="0.75" header="0.3" footer="0.3"/>
</x:worksheet>
</file>

<file path=xl/worksheets/sheet19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4.25"/>
  <x:cols>
    <x:col min="1" max="1" width="22" style="1" hidden="0" customWidth="1"/>
    <x:col min="2" max="2" width="70" style="1" hidden="0" customWidth="1"/>
    <x:col min="3" max="5" width="28" style="1" hidden="0" customWidth="1"/>
  </x:cols>
  <x:sheetData>
    <x:row r="1" ht="14.25" hidden="0" customHeight="1">
      <x:c r="A1" s="61" t="s">
        <x:v>734</x:v>
      </x:c>
    </x:row>
    <x:row r="2" ht="14.25" hidden="0" customHeight="1">
      <x:c r="A2" s="4" t="str">
        <x:f aca="0">"Sheet: "&amp;CANON!B7</x:f>
        <x:v>Sheet: v2.3</x:v>
      </x:c>
      <x:c r="B2" s="4" t="str">
        <x:f aca="0">"Framework: "&amp;CANON!B5</x:f>
        <x:v>Framework: RippleLogic v9.0</x:v>
      </x:c>
    </x:row>
    <x:row r="3" ht="14.25" hidden="0" customHeight="1">
      <x:c r="A3" s="9"/>
    </x:row>
    <x:row r="4" ht="42" hidden="0" customHeight="1">
      <x:c r="A4" s="62" t="s">
        <x:v>735</x:v>
      </x:c>
      <x:c r="B4" s="63" t="s">
        <x:v>736</x:v>
      </x:c>
    </x:row>
    <x:row r="5" ht="13.800000190734863" hidden="0"/>
    <x:row r="6" ht="14.25" hidden="0" customHeight="1">
      <x:c r="A6" s="24" t="s">
        <x:v>737</x:v>
      </x:c>
    </x:row>
    <x:row r="7" ht="14.25" hidden="0" customHeight="1">
      <x:c r="A7" s="4" t="s">
        <x:v>738</x:v>
      </x:c>
      <x:c r="B7" s="4" t="str">
        <x:f aca="0">PCC!B5</x:f>
        <x:v>Remote Work Policy Implementation</x:v>
      </x:c>
    </x:row>
    <x:row r="8" ht="14.25" hidden="0" customHeight="1">
      <x:c r="A8" s="4" t="s">
        <x:v>292</x:v>
      </x:c>
      <x:c r="B8" s="4" t="str">
        <x:f aca="0">PCC!B6</x:f>
        <x:v>2026-02-01</x:v>
      </x:c>
    </x:row>
    <x:row r="9" ht="14.25" hidden="0" customHeight="1">
      <x:c r="A9" s="4" t="s">
        <x:v>739</x:v>
      </x:c>
      <x:c r="B9" s="4" t="str">
        <x:f aca="0">CANON!B10&amp;" ("&amp;IF(CANON!B10=1,"Personal",IF(CANON!B10=2,"Core","High-Stakes"))&amp;")"</x:f>
        <x:v>2 (Core)</x:v>
      </x:c>
    </x:row>
    <x:row r="10" ht="14.25" hidden="0" customHeight="1">
      <x:c r="A10" s="4" t="s">
        <x:v>643</x:v>
      </x:c>
      <x:c r="B10" s="64" t="str">
        <x:f aca="0">CANON!B11</x:f>
        <x:v>ORG</x:v>
      </x:c>
    </x:row>
    <x:row r="11" ht="14.25" hidden="0" customHeight="1">
      <x:c r="A11" s="4" t="s">
        <x:v>299</x:v>
      </x:c>
      <x:c r="B11" s="4" t="str">
        <x:f aca="0">CANON!B12</x:f>
        <x:v>NO</x:v>
      </x:c>
    </x:row>
    <x:row r="12" ht="14.25" hidden="0" customHeight="1">
      <x:c r="A12" s="24" t="s">
        <x:v>740</x:v>
      </x:c>
      <x:c r="B12" s="23" t="str">
        <x:f aca="0">IF(CANON!B13=1,"YES","NO")</x:f>
        <x:v>YES</x:v>
      </x:c>
    </x:row>
    <x:row r="13" ht="14.25" hidden="0" customHeight="1">
      <x:c r="A13" s="9"/>
      <x:c r="B13" s="9"/>
      <x:c r="C13" s="9"/>
      <x:c r="D13" s="65"/>
      <x:c r="E13" s="9"/>
    </x:row>
    <x:row r="14" ht="14.25" hidden="0" customHeight="1">
      <x:c r="A14" s="24" t="s">
        <x:v>741</x:v>
      </x:c>
    </x:row>
    <x:row r="15" ht="14.25" hidden="0" customHeight="1">
      <x:c r="A15" s="24" t="s">
        <x:v>742</x:v>
      </x:c>
      <x:c r="B15" s="24" t="s">
        <x:v>743</x:v>
      </x:c>
      <x:c r="C15" s="66" t="s">
        <x:v>744</x:v>
      </x:c>
      <x:c r="D15" s="66" t="s">
        <x:v>745</x:v>
      </x:c>
      <x:c r="E15" s="67" t="s">
        <x:v>746</x:v>
      </x:c>
    </x:row>
    <x:row r="16" ht="14.25" hidden="0" customHeight="1">
      <x:c r="A16" s="4" t="s">
        <x:v>747</x:v>
      </x:c>
      <x:c r="B16" s="4" t="s">
        <x:v>211</x:v>
      </x:c>
      <x:c r="C16" s="4" t="str">
        <x:f aca="0">CANON!B51</x:f>
        <x:v>PASS</x:v>
      </x:c>
      <x:c r="D16" s="4" t="str">
        <x:f aca="0">CANON!B52</x:f>
        <x:v>PASS</x:v>
      </x:c>
      <x:c r="E16" s="64" t="str">
        <x:f aca="0">IF(AND(C16="PASS",D16="PASS"),"Both Pass",IF(C16="PASS","A only",IF(D16="PASS","B only","Neither")))</x:f>
        <x:v>Both Pass</x:v>
      </x:c>
    </x:row>
    <x:row r="17" ht="14.25" hidden="0" customHeight="1">
      <x:c r="A17" s="4" t="s">
        <x:v>748</x:v>
      </x:c>
      <x:c r="B17" s="4" t="s">
        <x:v>749</x:v>
      </x:c>
      <x:c r="C17" s="23" t="str">
        <x:f aca="0">CANON!B56&amp;" (CVaR="&amp;TEXT(CANON!B54,"0.0000")&amp;")"</x:f>
        <x:v>PASS (CVaR=0.0219)</x:v>
      </x:c>
      <x:c r="D17" s="23" t="str">
        <x:f aca="0">CANON!B57&amp;" (CVaR="&amp;TEXT(CANON!B55,"0.0000")&amp;")"</x:f>
        <x:v>PASS (CVaR=0.0315)</x:v>
      </x:c>
      <x:c r="E17" s="64" t="str">
        <x:f aca="0">IF(AND(CANON!B56="PASS",CANON!B57="PASS"),"Both Pass",IF(CANON!B56="PASS","A only",IF(CANON!B57="PASS","B only","Neither")))</x:f>
        <x:v>Both Pass</x:v>
      </x:c>
    </x:row>
    <x:row r="18" ht="14.25" hidden="0" customHeight="1">
      <x:c r="A18" s="4" t="s">
        <x:v>750</x:v>
      </x:c>
      <x:c r="B18" s="4" t="s">
        <x:v>220</x:v>
      </x:c>
      <x:c r="C18" s="68" t="str">
        <x:f aca="0">CANON!B60</x:f>
        <x:v>PASS</x:v>
      </x:c>
      <x:c r="D18" s="4" t="str">
        <x:f aca="0">CANON!B61</x:f>
        <x:v>PASS (vacuous)</x:v>
      </x:c>
      <x:c r="E18" s="64" t="str">
        <x:f aca="0">IF(AND(C16="PASS",D16="PASS"),"Both Pass","Review")</x:f>
        <x:v>Both Pass</x:v>
      </x:c>
    </x:row>
    <x:row r="19" ht="14.25" hidden="0" customHeight="1">
      <x:c r="A19" s="24" t="s">
        <x:v>751</x:v>
      </x:c>
      <x:c r="B19" s="4" t="s">
        <x:v>752</x:v>
      </x:c>
      <x:c r="C19" s="4" t="str">
        <x:f aca="0">TEXT(CANON!B63,"0.000000")</x:f>
        <x:v>0.015313</x:v>
      </x:c>
      <x:c r="D19" s="4" t="str">
        <x:f aca="0">TEXT(CANON!B64,"0.000000")</x:f>
        <x:v>-0.001122</x:v>
      </x:c>
      <x:c r="E19" s="4" t="str">
        <x:f aca="0">IF(CANON!B63&gt;CANON!B64,"A higher",IF(CANON!B64&gt;CANON!B63,"B higher","Tie"))</x:f>
        <x:v>A higher</x:v>
      </x:c>
    </x:row>
    <x:row r="20" ht="14.25" hidden="0" customHeight="1">
      <x:c r="C20" s="10"/>
      <x:c r="D20" s="10"/>
    </x:row>
    <x:row r="21" ht="14.25" hidden="0" customHeight="1">
      <x:c r="A21" s="24" t="s">
        <x:v>753</x:v>
      </x:c>
      <x:c r="B21" s="4" t="s">
        <x:v>754</x:v>
      </x:c>
    </x:row>
    <x:row r="22" ht="14.25" hidden="0" customHeight="1">
      <x:c r="A22" s="24" t="s">
        <x:v>755</x:v>
      </x:c>
      <x:c r="B22" s="4" t="str">
        <x:f aca="0">CANON!B70</x:f>
        <x:v>NORMAL</x:v>
      </x:c>
    </x:row>
    <x:row r="23" ht="14.25" hidden="0" customHeight="1">
      <x:c r="A23" s="4" t="s">
        <x:v>756</x:v>
      </x:c>
      <x:c r="B23" s="4" t="str">
        <x:f aca="0">IF(CANON!B71="","NONE (INVALID)",IF(CANON!B71="TIE","TIE (UCI required)","OPTION "&amp;CANON!B71))</x:f>
        <x:v>OPTION A</x:v>
      </x:c>
    </x:row>
    <x:row r="24" ht="14.25" hidden="0" customHeight="1">
      <x:c r="A24" s="4" t="s">
        <x:v>757</x:v>
      </x:c>
      <x:c r="B24" s="69" t="str">
        <x:f aca="0">CANON!B72</x:f>
        <x:v>Non-decisive RLS lead; judgment call documented</x:v>
      </x:c>
    </x:row>
    <x:row r="25" ht="14.25" hidden="0" customHeight="1">
      <x:c r="A25" s="70" t="s">
        <x:v>307</x:v>
      </x:c>
      <x:c r="B25" s="64" t="str">
        <x:f aca="0">Config!B17</x:f>
        <x:v>PLSS_LOCAL</x:v>
      </x:c>
    </x:row>
    <x:row r="26" ht="14.25" hidden="0" customHeight="1">
      <x:c r="A26" s="70" t="s">
        <x:v>758</x:v>
      </x:c>
      <x:c r="B26" s="4" t="str">
        <x:f aca="0">IF(Config!B17="PLSS_LOCAL","See PLSS_Local_Scope for q_u and w_u^PLSS","Uniform weights active")</x:f>
        <x:v>See PLSS_Local_Scope for q_u and w_u^PLSS</x:v>
      </x:c>
    </x:row>
    <x:row r="27" ht="14.25" hidden="0" customHeight="1">
      <x:c r="A27" s="24" t="s">
        <x:v>759</x:v>
      </x:c>
    </x:row>
    <x:row r="28" ht="14.25" hidden="0" customHeight="1">
      <x:c r="A28" s="4" t="s">
        <x:v>760</x:v>
      </x:c>
      <x:c r="B28" s="4" t="str">
        <x:f aca="0">CANON!B81</x:f>
        <x:v>YES</x:v>
      </x:c>
    </x:row>
    <x:row r="29" ht="14.25" hidden="0" customHeight="1">
      <x:c r="A29" s="64" t="s">
        <x:v>761</x:v>
      </x:c>
      <x:c r="B29" s="4" t="n">
        <x:f aca="0">CANON!B80</x:f>
        <x:v>0</x:v>
      </x:c>
    </x:row>
    <x:row r="30" ht="14.25" hidden="0" customHeight="1">
      <x:c r="A30" s="4" t="s">
        <x:v>762</x:v>
      </x:c>
      <x:c r="B30" s="4" t="n">
        <x:f aca="0">CANON!B76</x:f>
        <x:v>0</x:v>
      </x:c>
    </x:row>
    <x:row r="31" ht="14.25" hidden="0" customHeight="1">
      <x:c r="A31" s="4" t="s">
        <x:v>763</x:v>
      </x:c>
      <x:c r="B31" s="4" t="str">
        <x:f aca="0">IF(CANON!B77=TRUE(),"YES (BLOCKS CLAIM)","NO")</x:f>
        <x:v>NO</x:v>
      </x:c>
    </x:row>
    <x:row r="32" ht="13.800000190734863" hidden="0"/>
    <x:row r="33" ht="17.25" hidden="0" customHeight="1">
      <x:c r="A33" s="24" t="s">
        <x:v>764</x:v>
      </x:c>
    </x:row>
    <x:row r="34" ht="14.25" hidden="0" customHeight="1">
      <x:c r="A34" s="4" t="s">
        <x:v>765</x:v>
      </x:c>
      <x:c r="B34" s="23" t="n">
        <x:f aca="0">Audit_Flags!B21</x:f>
        <x:v>0</x:v>
      </x:c>
    </x:row>
    <x:row r="35" ht="14.25" hidden="0" customHeight="1">
      <x:c r="A35" s="4" t="s">
        <x:v>766</x:v>
      </x:c>
      <x:c r="B35" s="71" t="n">
        <x:f aca="0">Audit_Flags!B22</x:f>
        <x:v>0</x:v>
      </x:c>
    </x:row>
    <x:row r="36" ht="14.25" hidden="0" customHeight="1">
      <x:c r="A36" s="4" t="s">
        <x:v>767</x:v>
      </x:c>
      <x:c r="B36" s="23" t="n">
        <x:f aca="0">Audit_Flags!B23</x:f>
        <x:v>1</x:v>
      </x:c>
    </x:row>
    <x:row r="37" ht="14.25" hidden="0" customHeight="1">
      <x:c r="A37" s="4" t="s">
        <x:v>768</x:v>
      </x:c>
      <x:c r="B37" s="23" t="n">
        <x:f aca="0">Audit_Flags!B24</x:f>
        <x:v>1</x:v>
      </x:c>
    </x:row>
    <x:row r="38" ht="14.25" hidden="0" customHeight="1">
      <x:c r="B38" s="55"/>
    </x:row>
    <x:row r="39" ht="14.25" hidden="0" customHeight="1">
      <x:c r="A39" s="4" t="s">
        <x:v>769</x:v>
      </x:c>
      <x:c r="B39" s="4" t="str">
        <x:f aca="0">IF(Audit_Flags!B23&gt;0,"⚠ REVIEW flags present","No REVIEW flags")</x:f>
        <x:v>⚠ REVIEW flags present</x:v>
      </x:c>
    </x:row>
    <x:row r="40" ht="13.800000190734863" hidden="0"/>
    <x:row r="41" ht="14.25" hidden="0" customHeight="1">
      <x:c r="A41" s="9"/>
    </x:row>
    <x:row r="42" ht="14.25" hidden="0" customHeight="1">
      <x:c r="A42" s="23" t="str">
        <x:f aca="0">Audit_Flags!B26</x:f>
        <x:v>NO</x:v>
      </x:c>
      <x:c r="B42" s="4" t="str">
        <x:f aca="0">IF(Audit_Flags!J19="(none)","(none)",Audit_Flags!J19)</x:f>
        <x:v>NONDECISIVE_GAP_REVIEW (REVIEW)</x:v>
      </x:c>
    </x:row>
    <x:row r="43" ht="13.800000190734863" hidden="0"/>
    <x:row r="44" ht="13.800000190734863" hidden="0"/>
    <x:row r="45" ht="14.25" hidden="0" customHeight="1">
      <x:c r="A45" s="4" t="s">
        <x:v>770</x:v>
      </x:c>
      <x:c r="B45" s="4" t="n">
        <x:f aca="0">Audit_Flags!B24</x:f>
        <x:v>1</x:v>
      </x:c>
    </x:row>
    <x:row r="46" ht="13.5" hidden="0" customHeight="1"/>
    <x:row r="47" ht="13.800000190734863" hidden="0"/>
    <x:row r="48" ht="13.800000190734863" hidden="0"/>
    <x:row r="49" ht="14.25" hidden="0" customHeight="1">
      <x:c r="A49" s="24" t="s">
        <x:v>771</x:v>
      </x:c>
    </x:row>
    <x:row r="50" ht="14.25" hidden="0" customHeight="1">
      <x:c r="A50" s="4" t="s">
        <x:v>772</x:v>
      </x:c>
    </x:row>
    <x:row r="51" ht="14.25" hidden="0" customHeight="1">
      <x:c r="A51" s="4" t="s">
        <x:v>773</x:v>
      </x:c>
    </x:row>
    <x:row r="52" ht="14.25" hidden="0" customHeight="1">
      <x:c r="A52" s="23" t="s">
        <x:v>774</x:v>
      </x:c>
      <x:c r="B52" s="4" t="str">
        <x:f aca="0">TEXT(DATE(2026,2,2)+90,"YYYY-MM-DD")</x:f>
        <x:v>2026-05-03</x:v>
      </x:c>
    </x:row>
    <x:row r="53" ht="14.25" hidden="0" customHeight="1">
      <x:c r="A53" s="4" t="s">
        <x:v>775</x:v>
      </x:c>
    </x:row>
  </x:sheetData>
  <x:pageMargins left="0.7" right="0.7" top="0.75" bottom="0.75" header="0.3" footer="0.3"/>
</x:worksheet>
</file>

<file path=xl/worksheets/sheet20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4.25"/>
  <x:cols>
    <x:col min="1" max="1" width="30" style="1" hidden="0" customWidth="1"/>
    <x:col min="2" max="3" width="14" style="1" hidden="0" customWidth="1"/>
    <x:col min="4" max="4" width="60" style="1" hidden="0" customWidth="1"/>
    <x:col min="5" max="5" width="32" style="1" hidden="0" customWidth="1"/>
    <x:col min="6" max="6" width="18" hidden="0" customWidth="1"/>
    <x:col min="7" max="8" width="16" hidden="0" customWidth="1"/>
    <x:col min="9" max="9" width="22" hidden="0" customWidth="1"/>
    <x:col min="10" max="10" width="26" hidden="0" customWidth="1"/>
  </x:cols>
  <x:sheetData>
    <x:row r="1" ht="14.25" hidden="0" customHeight="1">
      <x:c r="A1" s="3" t="s">
        <x:v>776</x:v>
      </x:c>
    </x:row>
    <x:row r="2" ht="14.25" hidden="0" customHeight="1">
      <x:c r="A2" s="4" t="s">
        <x:v>777</x:v>
      </x:c>
    </x:row>
    <x:row r="3" ht="14.25" hidden="0" customHeight="1">
      <x:c r="A3" s="24" t="s">
        <x:v>778</x:v>
      </x:c>
      <x:c r="B3" s="9"/>
      <x:c r="C3" s="9"/>
      <x:c r="D3" s="9"/>
      <x:c r="E3" s="9"/>
    </x:row>
    <x:row r="4" ht="14.25" hidden="0" customHeight="1">
      <x:c r="A4" s="3" t="s">
        <x:v>779</x:v>
      </x:c>
      <x:c r="B4" s="3" t="s">
        <x:v>780</x:v>
      </x:c>
      <x:c r="C4" s="72" t="s">
        <x:v>781</x:v>
      </x:c>
      <x:c r="D4" s="3" t="s">
        <x:v>480</x:v>
      </x:c>
      <x:c r="E4" s="3" t="s">
        <x:v>782</x:v>
      </x:c>
      <x:c r="F4" s="3" t="s">
        <x:v>186</x:v>
      </x:c>
      <x:c r="G4" s="3" t="s">
        <x:v>783</x:v>
      </x:c>
      <x:c r="H4" s="3" t="s">
        <x:v>784</x:v>
      </x:c>
    </x:row>
    <x:row r="5" ht="14.25" hidden="0" customHeight="1">
      <x:c r="A5" s="4" t="s">
        <x:v>785</x:v>
      </x:c>
      <x:c r="B5" s="23" t="str">
        <x:f aca="0">IF(AND(CANON!B13=1,CANON!B76&gt;0),"YES","NO")</x:f>
        <x:v>NO</x:v>
      </x:c>
      <x:c r="C5" s="73" t="s">
        <x:v>786</x:v>
      </x:c>
      <x:c r="D5" s="4" t="s">
        <x:v>787</x:v>
      </x:c>
      <x:c r="E5" s="4" t="str">
        <x:f aca="0">IF(AND(CANON!$B$13=1,CANON!$B$76&gt;0),"YES","NO")</x:f>
        <x:v>NO</x:v>
      </x:c>
      <x:c r="F5" s="4" t="s">
        <x:v>788</x:v>
      </x:c>
      <x:c r="G5" s="4" t="str">
        <x:f aca="0">IF(B5="YES",A5,"")</x:f>
      </x:c>
      <x:c r="H5" s="4" t="str">
        <x:f aca="0">IF(B5="YES",C5,"")</x:f>
      </x:c>
      <x:c r="I5" s="4" t="str">
        <x:f aca="0">IF($H5="INVALID",$G5,"")</x:f>
      </x:c>
      <x:c r="J5" s="4" t="str">
        <x:f aca="0">IF($H5="ESCALATE",$G5,"")</x:f>
      </x:c>
      <x:c r="K5" s="4" t="str">
        <x:f aca="0">IF($H5="REVIEW",$G5,"")</x:f>
      </x:c>
      <x:c r="L5" s="4" t="str">
        <x:f aca="0">IF($G5&lt;&gt;"",$G5&amp;" ("&amp;$H5&amp;")","")</x:f>
      </x:c>
    </x:row>
    <x:row r="6" ht="14.25" hidden="0" customHeight="1">
      <x:c r="A6" s="4" t="s">
        <x:v>789</x:v>
      </x:c>
      <x:c r="B6" s="23" t="str">
        <x:f aca="0">IF(WTSL_Categories!$B$17 &lt; WTSL_Categories!$B$16,"YES","NO")</x:f>
        <x:v>NO</x:v>
      </x:c>
      <x:c r="C6" s="73" t="s">
        <x:v>790</x:v>
      </x:c>
      <x:c r="D6" s="4" t="s">
        <x:v>791</x:v>
      </x:c>
      <x:c r="E6" s="4" t="str">
        <x:f aca="0">IF(WTSL_Categories!$B$17 &lt; WTSL_Categories!$B$16,"YES","NO")</x:f>
        <x:v>NO</x:v>
      </x:c>
      <x:c r="F6" s="4" t="s">
        <x:v>792</x:v>
      </x:c>
      <x:c r="G6" s="4" t="str">
        <x:f aca="0">IF(B6="YES",A6,"")</x:f>
      </x:c>
      <x:c r="H6" s="4" t="str">
        <x:f aca="0">IF(B6="YES",C6,"")</x:f>
      </x:c>
      <x:c r="I6" s="4" t="str">
        <x:f aca="0">IF($H6="INVALID",$G6,"")</x:f>
      </x:c>
      <x:c r="J6" s="4" t="str">
        <x:f aca="0">IF($H6="ESCALATE",$G6,"")</x:f>
      </x:c>
      <x:c r="K6" s="4" t="str">
        <x:f aca="0">IF($H6="REVIEW",$G6,"")</x:f>
      </x:c>
      <x:c r="L6" s="4" t="str">
        <x:f aca="0">IF($G6&lt;&gt;"",$G6&amp;" ("&amp;$H6&amp;")","")</x:f>
      </x:c>
    </x:row>
    <x:row r="7" ht="14.25" hidden="0" customHeight="1">
      <x:c r="A7" s="4" t="s">
        <x:v>793</x:v>
      </x:c>
      <x:c r="B7" s="23" t="str">
        <x:f aca="0">IF(Config!B2&lt;&gt;CANON!B7,"YES","NO")</x:f>
        <x:v>NO</x:v>
      </x:c>
      <x:c r="C7" s="73" t="s">
        <x:v>786</x:v>
      </x:c>
      <x:c r="D7" s="4" t="s">
        <x:v>794</x:v>
      </x:c>
      <x:c r="E7" s="4" t="s">
        <x:v>795</x:v>
      </x:c>
      <x:c r="F7" s="4" t="s">
        <x:v>191</x:v>
      </x:c>
      <x:c r="G7" s="4" t="str">
        <x:f aca="0">IF(B7="YES",A7,"")</x:f>
      </x:c>
      <x:c r="H7" s="4" t="str">
        <x:f aca="0">IF(B7="YES",C7,"")</x:f>
      </x:c>
      <x:c r="I7" s="4" t="str">
        <x:f aca="0">IF($H7="INVALID",$G7,"")</x:f>
      </x:c>
      <x:c r="J7" s="4" t="str">
        <x:f aca="0">IF($H7="ESCALATE",$G7,"")</x:f>
      </x:c>
      <x:c r="K7" s="4" t="str">
        <x:f aca="0">IF($H7="REVIEW",$G7,"")</x:f>
      </x:c>
      <x:c r="L7" s="4" t="str">
        <x:f aca="0">IF($G7&lt;&gt;"",$G7&amp;" ("&amp;$H7&amp;")","")</x:f>
      </x:c>
    </x:row>
    <x:row r="8" ht="14.25" hidden="0" customHeight="1">
      <x:c r="A8" s="4" t="s">
        <x:v>796</x:v>
      </x:c>
      <x:c r="B8" s="23" t="str">
        <x:f aca="0">IF(CANON!B38&lt;&gt;8,"YES","NO")</x:f>
        <x:v>NO</x:v>
      </x:c>
      <x:c r="C8" s="73" t="s">
        <x:v>786</x:v>
      </x:c>
      <x:c r="D8" s="4" t="s">
        <x:v>797</x:v>
      </x:c>
      <x:c r="E8" s="4" t="s">
        <x:v>798</x:v>
      </x:c>
      <x:c r="F8" s="4" t="s">
        <x:v>208</x:v>
      </x:c>
      <x:c r="G8" s="4" t="str">
        <x:f aca="0">IF(B8="YES",A8,"")</x:f>
      </x:c>
      <x:c r="H8" s="4" t="str">
        <x:f aca="0">IF(B8="YES",C8,"")</x:f>
      </x:c>
      <x:c r="I8" s="4" t="str">
        <x:f aca="0">IF($H8="INVALID",$G8,"")</x:f>
      </x:c>
      <x:c r="J8" s="4" t="str">
        <x:f aca="0">IF($H8="ESCALATE",$G8,"")</x:f>
      </x:c>
      <x:c r="K8" s="4" t="str">
        <x:f aca="0">IF($H8="REVIEW",$G8,"")</x:f>
      </x:c>
      <x:c r="L8" s="4" t="str">
        <x:f aca="0">IF($G8&lt;&gt;"",$G8&amp;" ("&amp;$H8&amp;")","")</x:f>
      </x:c>
    </x:row>
    <x:row r="9" ht="14.25" hidden="0" customHeight="1">
      <x:c r="A9" s="4" t="s">
        <x:v>799</x:v>
      </x:c>
      <x:c r="B9" s="23" t="str">
        <x:f aca="0">IF(OR(CANON!B71="",CANON!B71="NONE"),"YES","NO")</x:f>
        <x:v>NO</x:v>
      </x:c>
      <x:c r="C9" s="74" t="s">
        <x:v>786</x:v>
      </x:c>
      <x:c r="D9" s="4" t="s">
        <x:v>800</x:v>
      </x:c>
      <x:c r="E9" s="4" t="s">
        <x:v>801</x:v>
      </x:c>
      <x:c r="F9" s="4" t="s">
        <x:v>239</x:v>
      </x:c>
      <x:c r="G9" s="4" t="str">
        <x:f aca="0">IF(B9="YES",A9,"")</x:f>
      </x:c>
      <x:c r="H9" s="4" t="str">
        <x:f aca="0">IF(B9="YES",C9,"")</x:f>
      </x:c>
      <x:c r="I9" s="4" t="str">
        <x:f aca="0">IF($H9="INVALID",$G9,"")</x:f>
      </x:c>
      <x:c r="J9" s="4" t="str">
        <x:f aca="0">IF($H9="ESCALATE",$G9,"")</x:f>
      </x:c>
      <x:c r="K9" s="4" t="str">
        <x:f aca="0">IF($H9="REVIEW",$G9,"")</x:f>
      </x:c>
      <x:c r="L9" s="4" t="str">
        <x:f aca="0">IF($G9&lt;&gt;"",$G9&amp;" ("&amp;$H9&amp;")","")</x:f>
      </x:c>
    </x:row>
    <x:row r="10" ht="14.25" hidden="0" customHeight="1">
      <x:c r="A10" s="4" t="s">
        <x:v>802</x:v>
      </x:c>
      <x:c r="B10" s="23" t="str">
        <x:f aca="0">IF(AND(CANON!B67&gt;0,CANON!B68=0),"YES","NO")</x:f>
        <x:v>NO</x:v>
      </x:c>
      <x:c r="C10" s="74" t="s">
        <x:v>790</x:v>
      </x:c>
      <x:c r="D10" s="4" t="s">
        <x:v>803</x:v>
      </x:c>
      <x:c r="E10" s="4" t="s">
        <x:v>804</x:v>
      </x:c>
      <x:c r="F10" s="4" t="s">
        <x:v>805</x:v>
      </x:c>
      <x:c r="G10" s="4" t="str">
        <x:f aca="0">IF(B10="YES",A10,"")</x:f>
      </x:c>
      <x:c r="H10" s="4" t="str">
        <x:f aca="0">IF(B10="YES",C10,"")</x:f>
      </x:c>
      <x:c r="I10" s="4" t="str">
        <x:f aca="0">IF($H10="INVALID",$G10,"")</x:f>
      </x:c>
      <x:c r="J10" s="4" t="str">
        <x:f aca="0">IF($H10="ESCALATE",$G10,"")</x:f>
      </x:c>
      <x:c r="K10" s="4" t="str">
        <x:f aca="0">IF($H10="REVIEW",$G10,"")</x:f>
      </x:c>
      <x:c r="L10" s="4" t="str">
        <x:f aca="0">IF($G10&lt;&gt;"",$G10&amp;" ("&amp;$H10&amp;")","")</x:f>
      </x:c>
    </x:row>
    <x:row r="11" ht="14.25" hidden="0" customHeight="1">
      <x:c r="A11" s="4" t="s">
        <x:v>806</x:v>
      </x:c>
      <x:c r="B11" s="23" t="str">
        <x:f aca="0">IF(CANON!B67=0,"YES","NO")</x:f>
        <x:v>NO</x:v>
      </x:c>
      <x:c r="C11" s="74" t="s">
        <x:v>790</x:v>
      </x:c>
      <x:c r="D11" s="4" t="s">
        <x:v>807</x:v>
      </x:c>
      <x:c r="E11" s="4" t="s">
        <x:v>808</x:v>
      </x:c>
      <x:c r="F11" s="4" t="s">
        <x:v>809</x:v>
      </x:c>
      <x:c r="G11" s="4" t="str">
        <x:f aca="0">IF(B11="YES",A11,"")</x:f>
      </x:c>
      <x:c r="H11" s="4" t="str">
        <x:f aca="0">IF(B11="YES",C11,"")</x:f>
      </x:c>
      <x:c r="I11" s="4" t="str">
        <x:f aca="0">IF($H11="INVALID",$G11,"")</x:f>
      </x:c>
      <x:c r="J11" s="4" t="str">
        <x:f aca="0">IF($H11="ESCALATE",$G11,"")</x:f>
      </x:c>
      <x:c r="K11" s="4" t="str">
        <x:f aca="0">IF($H11="REVIEW",$G11,"")</x:f>
      </x:c>
      <x:c r="L11" s="4" t="str">
        <x:f aca="0">IF($G11&lt;&gt;"",$G11&amp;" ("&amp;$H11&amp;")","")</x:f>
      </x:c>
    </x:row>
    <x:row r="12" ht="14.25" hidden="0" customHeight="1">
      <x:c r="A12" s="4" t="s">
        <x:v>104</x:v>
      </x:c>
      <x:c r="B12" s="23" t="str">
        <x:f aca="0">IF(CANON!B73="YES","YES","NO")</x:f>
        <x:v>NO</x:v>
      </x:c>
      <x:c r="C12" s="74" t="s">
        <x:v>790</x:v>
      </x:c>
      <x:c r="D12" s="4" t="s">
        <x:v>810</x:v>
      </x:c>
      <x:c r="E12" s="4" t="s">
        <x:v>811</x:v>
      </x:c>
      <x:c r="F12" s="4" t="s">
        <x:v>812</x:v>
      </x:c>
      <x:c r="G12" s="4" t="str">
        <x:f aca="0">IF(B12="YES",A12,"")</x:f>
      </x:c>
      <x:c r="H12" s="4" t="str">
        <x:f aca="0">IF(B12="YES",C12,"")</x:f>
      </x:c>
      <x:c r="I12" s="4" t="str">
        <x:f aca="0">IF($H12="INVALID",$G12,"")</x:f>
      </x:c>
      <x:c r="J12" s="4" t="str">
        <x:f aca="0">IF($H12="ESCALATE",$G12,"")</x:f>
      </x:c>
      <x:c r="K12" s="4" t="str">
        <x:f aca="0">IF($H12="REVIEW",$G12,"")</x:f>
      </x:c>
      <x:c r="L12" s="4" t="str">
        <x:f aca="0">IF($G12&lt;&gt;"",$G12&amp;" ("&amp;$H12&amp;")","")</x:f>
      </x:c>
    </x:row>
    <x:row r="13" ht="14.25" hidden="0" customHeight="1">
      <x:c r="A13" s="4" t="s">
        <x:v>813</x:v>
      </x:c>
      <x:c r="B13" s="23" t="str">
        <x:f aca="0">IF(AND(CANON!$B$10&gt;=2,OR(CANON!$B$137="",CANON!$B$26="",CANON!$B$26&lt;=0)),"YES","NO")</x:f>
        <x:v>NO</x:v>
      </x:c>
      <x:c r="C13" s="75" t="s">
        <x:v>790</x:v>
      </x:c>
      <x:c r="D13" s="4" t="s">
        <x:v>814</x:v>
      </x:c>
      <x:c r="E13" s="4" t="str">
        <x:f aca="0">IF(AND(CANON!$B$10&gt;=2,OR(CANON!$B$137="",CANON!$B$26="",CANON!$B$26&lt;=0)),"YES","NO")</x:f>
        <x:v>NO</x:v>
      </x:c>
      <x:c r="F13" s="4" t="s">
        <x:v>815</x:v>
      </x:c>
      <x:c r="G13" s="4" t="str">
        <x:f aca="0">IF(B13="YES",A13,"")</x:f>
      </x:c>
      <x:c r="H13" s="4" t="str">
        <x:f aca="0">IF(B13="YES",C13,"")</x:f>
      </x:c>
      <x:c r="I13" s="4" t="str">
        <x:f aca="0">IF($H13="INVALID",$G13,"")</x:f>
      </x:c>
      <x:c r="J13" s="4" t="str">
        <x:f aca="0">IF($H13="ESCALATE",$G13,"")</x:f>
      </x:c>
      <x:c r="K13" s="4" t="str">
        <x:f aca="0">IF($H13="REVIEW",$G13,"")</x:f>
      </x:c>
      <x:c r="L13" s="4" t="str">
        <x:f aca="0">IF($G13&lt;&gt;"",$G13&amp;" ("&amp;$H13&amp;")","")</x:f>
      </x:c>
    </x:row>
    <x:row r="14" ht="14.25" hidden="0" customHeight="1">
      <x:c r="A14" s="4" t="s">
        <x:v>816</x:v>
      </x:c>
      <x:c r="B14" s="23" t="str">
        <x:f aca="0">IF(AND(Subgroup_Overrides!B17=0,Subgroup_Analysis!B46=0),"YES","NO")</x:f>
        <x:v>NO</x:v>
      </x:c>
      <x:c r="C14" s="75" t="s">
        <x:v>817</x:v>
      </x:c>
      <x:c r="D14" s="4" t="s">
        <x:v>818</x:v>
      </x:c>
      <x:c r="E14" s="4" t="s">
        <x:v>819</x:v>
      </x:c>
      <x:c r="F14" s="4" t="s">
        <x:v>820</x:v>
      </x:c>
      <x:c r="G14" s="4" t="str">
        <x:f aca="0">IF(B14="YES",A14,"")</x:f>
      </x:c>
      <x:c r="H14" s="4" t="str">
        <x:f aca="0">IF(B14="YES",C14,"")</x:f>
      </x:c>
      <x:c r="I14" s="4" t="str">
        <x:f aca="0">IF($H14="INVALID",$G14,"")</x:f>
      </x:c>
      <x:c r="J14" s="4" t="str">
        <x:f aca="0">IF($H14="ESCALATE",$G14,"")</x:f>
      </x:c>
      <x:c r="K14" s="4" t="str">
        <x:f aca="0">IF($H14="REVIEW",$G14,"")</x:f>
      </x:c>
      <x:c r="L14" s="4" t="str">
        <x:f aca="0">IF($G14&lt;&gt;"",$G14&amp;" ("&amp;$H14&amp;")","")</x:f>
      </x:c>
    </x:row>
    <x:row r="15" ht="14.25" hidden="0" customHeight="1">
      <x:c r="A15" s="4" t="s">
        <x:v>821</x:v>
      </x:c>
      <x:c r="B15" s="23" t="str">
        <x:f aca="0">IF(ABS(CANON!B63-CANON!B64)/SQRT(2*CANON!B26^2+0.000001)&lt;CANON!B22,"YES","NO")</x:f>
        <x:v>YES</x:v>
      </x:c>
      <x:c r="C15" s="75" t="s">
        <x:v>817</x:v>
      </x:c>
      <x:c r="D15" s="4" t="s">
        <x:v>822</x:v>
      </x:c>
      <x:c r="E15" s="4" t="str">
        <x:f aca="0">IF(ABS(CANON!$B$63-CANON!$B$64)/SQRT(2*CANON!$B$26^2+0.000001)&lt;CANON!$B$22,"YES","NO")</x:f>
        <x:v>YES</x:v>
      </x:c>
      <x:c r="F15" s="4" t="s">
        <x:v>823</x:v>
      </x:c>
      <x:c r="G15" s="4" t="str">
        <x:f aca="0">IF(B15="YES",A15,"")</x:f>
        <x:v>NONDECISIVE_GAP_REVIEW</x:v>
      </x:c>
      <x:c r="H15" s="4" t="str">
        <x:f aca="0">IF(B15="YES",C15,"")</x:f>
        <x:v>REVIEW</x:v>
      </x:c>
      <x:c r="I15" s="4" t="str">
        <x:f aca="0">IF($H15="INVALID",$G15,"")</x:f>
      </x:c>
      <x:c r="J15" s="4" t="str">
        <x:f aca="0">IF($H15="ESCALATE",$G15,"")</x:f>
      </x:c>
      <x:c r="K15" s="4" t="str">
        <x:f aca="0">IF($H15="REVIEW",$G15,"")</x:f>
        <x:v>NONDECISIVE_GAP_REVIEW</x:v>
      </x:c>
      <x:c r="L15" s="4" t="str">
        <x:f aca="0">IF($G15&lt;&gt;"",$G15&amp;" ("&amp;$H15&amp;")","")</x:f>
        <x:v>NONDECISIVE_GAP_REVIEW (REVIEW)</x:v>
      </x:c>
    </x:row>
    <x:row r="16" ht="14.25" hidden="0" customHeight="1">
      <x:c r="A16" s="4" t="s">
        <x:v>824</x:v>
      </x:c>
      <x:c r="B16" s="23" t="str">
        <x:f aca="0">IF(CANON!B10&gt;=3,"YES","NO")</x:f>
        <x:v>NO</x:v>
      </x:c>
      <x:c r="C16" s="4" t="s">
        <x:v>817</x:v>
      </x:c>
      <x:c r="D16" s="4" t="s">
        <x:v>825</x:v>
      </x:c>
      <x:c r="E16" s="4" t="s">
        <x:v>826</x:v>
      </x:c>
      <x:c r="F16" s="4" t="s">
        <x:v>827</x:v>
      </x:c>
      <x:c r="G16" s="4" t="str">
        <x:f aca="0">IF(B16="YES",A16,"")</x:f>
      </x:c>
      <x:c r="H16" s="4" t="str">
        <x:f aca="0">IF(B16="YES",C16,"")</x:f>
      </x:c>
      <x:c r="I16" s="4" t="str">
        <x:f aca="0">IF($H16="INVALID",$G16,"")</x:f>
      </x:c>
      <x:c r="J16" s="4" t="str">
        <x:f aca="0">IF($H16="ESCALATE",$G16,"")</x:f>
      </x:c>
      <x:c r="K16" s="4" t="str">
        <x:f aca="0">IF($H16="REVIEW",$G16,"")</x:f>
      </x:c>
      <x:c r="L16" s="4" t="str">
        <x:f aca="0">IF($G16&lt;&gt;"",$G16&amp;" ("&amp;$H16&amp;")","")</x:f>
      </x:c>
    </x:row>
    <x:row r="17" ht="14.25" hidden="0" customHeight="1">
      <x:c r="A17" s="4" t="s">
        <x:v>828</x:v>
      </x:c>
      <x:c r="B17" s="23" t="str">
        <x:f aca="0">IF(Sensitivity_Analysis!B3="NOT PERFORMED","YES","NO")</x:f>
        <x:v>NO</x:v>
      </x:c>
      <x:c r="C17" s="4" t="s">
        <x:v>817</x:v>
      </x:c>
      <x:c r="D17" s="4" t="s">
        <x:v>829</x:v>
      </x:c>
      <x:c r="E17" s="4" t="s">
        <x:v>830</x:v>
      </x:c>
      <x:c r="F17" s="4" t="s">
        <x:v>831</x:v>
      </x:c>
      <x:c r="G17" s="4" t="str">
        <x:f aca="0">IF(B17="YES",A17,"")</x:f>
      </x:c>
      <x:c r="H17" s="4" t="str">
        <x:f aca="0">IF(B17="YES",C17,"")</x:f>
      </x:c>
      <x:c r="I17" s="4" t="str">
        <x:f aca="0">IF($H17="INVALID",$G17,"")</x:f>
      </x:c>
      <x:c r="J17" s="4" t="str">
        <x:f aca="0">IF($H17="ESCALATE",$G17,"")</x:f>
      </x:c>
      <x:c r="K17" s="4" t="str">
        <x:f aca="0">IF($H17="REVIEW",$G17,"")</x:f>
      </x:c>
      <x:c r="L17" s="4" t="str">
        <x:f aca="0">IF($G17&lt;&gt;"",$G17&amp;" ("&amp;$H17&amp;")","")</x:f>
      </x:c>
    </x:row>
    <x:row r="18" ht="14.25" hidden="0" customHeight="1">
      <x:c r="A18" s="24" t="s">
        <x:v>832</x:v>
      </x:c>
      <x:c r="B18" s="23" t="str">
        <x:f aca="0">IF(SUMPRODUCT(--((B5:B17&lt;&gt;"YES")*(B5:B17&lt;&gt;"NO")))+SUMPRODUCT(--((B25:B32&lt;&gt;"YES")*(B25:B32&lt;&gt;"NO")))&gt;0,"YES","NO")</x:f>
        <x:v>NO</x:v>
      </x:c>
      <x:c r="C18" s="4" t="s">
        <x:v>786</x:v>
      </x:c>
      <x:c r="D18" s="4" t="s">
        <x:v>833</x:v>
      </x:c>
      <x:c r="E18" s="4" t="s">
        <x:v>834</x:v>
      </x:c>
      <x:c r="F18" s="4" t="s">
        <x:v>835</x:v>
      </x:c>
      <x:c r="G18" s="4" t="str">
        <x:f aca="0">IF(B18="YES",A18,"")</x:f>
      </x:c>
      <x:c r="H18" s="4" t="str">
        <x:f aca="0">IF(B18="YES",C18,"")</x:f>
      </x:c>
      <x:c r="I18" s="4" t="str">
        <x:f aca="0">IF($H18="INVALID",$G18,"")</x:f>
      </x:c>
      <x:c r="J18" s="4" t="str">
        <x:f aca="0">IF($H18="ESCALATE",$G18,"")</x:f>
      </x:c>
      <x:c r="K18" s="4" t="str">
        <x:f aca="0">IF($H18="REVIEW",$G18,"")</x:f>
      </x:c>
      <x:c r="L18" s="4" t="str">
        <x:f aca="0">IF($G18&lt;&gt;"",$G18&amp;" ("&amp;$H18&amp;")","")</x:f>
      </x:c>
    </x:row>
    <x:row r="19" ht="14.25" hidden="0" customHeight="1">
      <x:c r="I19" s="4" t="s">
        <x:v>836</x:v>
      </x:c>
      <x:c r="J19" s="4" t="str">
        <x:f aca="0">IF((IF($L$5&lt;&gt;"",", "&amp;$L$5,"")&amp;IF($L$6&lt;&gt;"",", "&amp;$L$6,"")&amp;IF($L$7&lt;&gt;"",", "&amp;$L$7,"")&amp;IF($L$8&lt;&gt;"",", "&amp;$L$8,"")&amp;IF($L$9&lt;&gt;"",", "&amp;$L$9,"")&amp;IF($L$10&lt;&gt;"",", "&amp;$L$10,"")&amp;IF($L$11&lt;&gt;"",", "&amp;$L$11,"")&amp;IF($L$12&lt;&gt;"",", "&amp;$L$12,"")&amp;IF($L$13&lt;&gt;"",", "&amp;$L$13,"")&amp;IF($L$14&lt;&gt;"",", "&amp;$L$14,"")&amp;IF($L$15&lt;&gt;"",", "&amp;$L$15,"")&amp;IF($L$16&lt;&gt;"",", "&amp;$L$16,"")&amp;IF($L$17&lt;&gt;"",", "&amp;$L$17,"")&amp;IF($L$18&lt;&gt;"",", "&amp;$L$18,"")&amp;IF($L$25&lt;&gt;"",", "&amp;$L$25,"")&amp;IF($L$26&lt;&gt;"",", "&amp;$L$26,"")&amp;IF($L$27&lt;&gt;"",", "&amp;$L$27,"")&amp;IF($L$28&lt;&gt;"",", "&amp;$L$28,"")&amp;IF($L$29&lt;&gt;"",", "&amp;$L$29,"")&amp;IF($L$30&lt;&gt;"",", "&amp;$L$30,"")&amp;IF($L$31&lt;&gt;"",", "&amp;$L$31,"")&amp;IF($L$32&lt;&gt;"",", "&amp;$L$32,""))="","(none)",MID(IF($L$5&lt;&gt;"",", "&amp;$L$5,"")&amp;IF($L$6&lt;&gt;"",", "&amp;$L$6,"")&amp;IF($L$7&lt;&gt;"",", "&amp;$L$7,"")&amp;IF($L$8&lt;&gt;"",", "&amp;$L$8,"")&amp;IF($L$9&lt;&gt;"",", "&amp;$L$9,"")&amp;IF($L$10&lt;&gt;"",", "&amp;$L$10,"")&amp;IF($L$11&lt;&gt;"",", "&amp;$L$11,"")&amp;IF($L$12&lt;&gt;"",", "&amp;$L$12,"")&amp;IF($L$13&lt;&gt;"",", "&amp;$L$13,"")&amp;IF($L$14&lt;&gt;"",", "&amp;$L$14,"")&amp;IF($L$15&lt;&gt;"",", "&amp;$L$15,"")&amp;IF($L$16&lt;&gt;"",", "&amp;$L$16,"")&amp;IF($L$17&lt;&gt;"",", "&amp;$L$17,"")&amp;IF($L$18&lt;&gt;"",", "&amp;$L$18,"")&amp;IF($L$25&lt;&gt;"",", "&amp;$L$25,"")&amp;IF($L$26&lt;&gt;"",", "&amp;$L$26,"")&amp;IF($L$27&lt;&gt;"",", "&amp;$L$27,"")&amp;IF($L$28&lt;&gt;"",", "&amp;$L$28,"")&amp;IF($L$29&lt;&gt;"",", "&amp;$L$29,"")&amp;IF($L$30&lt;&gt;"",", "&amp;$L$30,"")&amp;IF($L$31&lt;&gt;"",", "&amp;$L$31,"")&amp;IF($L$32&lt;&gt;"",", "&amp;$L$32,""),3,32767))</x:f>
        <x:v>NONDECISIVE_GAP_REVIEW (REVIEW)</x:v>
      </x:c>
    </x:row>
    <x:row r="20" ht="14.25" hidden="0" customHeight="1">
      <x:c r="A20" s="3" t="s">
        <x:v>837</x:v>
      </x:c>
      <x:c r="I20" s="4" t="s">
        <x:v>838</x:v>
      </x:c>
      <x:c r="J20" s="4" t="str">
        <x:f aca="0">IF((IF($I$5&lt;&gt;"",", "&amp;$I$5,"")&amp;IF($I$6&lt;&gt;"",", "&amp;$I$6,"")&amp;IF($I$7&lt;&gt;"",", "&amp;$I$7,"")&amp;IF($I$8&lt;&gt;"",", "&amp;$I$8,"")&amp;IF($I$9&lt;&gt;"",", "&amp;$I$9,"")&amp;IF($I$10&lt;&gt;"",", "&amp;$I$10,"")&amp;IF($I$11&lt;&gt;"",", "&amp;$I$11,"")&amp;IF($I$12&lt;&gt;"",", "&amp;$I$12,"")&amp;IF($I$13&lt;&gt;"",", "&amp;$I$13,"")&amp;IF($I$14&lt;&gt;"",", "&amp;$I$14,"")&amp;IF($I$15&lt;&gt;"",", "&amp;$I$15,"")&amp;IF($I$16&lt;&gt;"",", "&amp;$I$16,"")&amp;IF($I$17&lt;&gt;"",", "&amp;$I$17,"")&amp;IF($I$18&lt;&gt;"",", "&amp;$I$18,"")&amp;IF($I$25&lt;&gt;"",", "&amp;$I$25,"")&amp;IF($I$26&lt;&gt;"",", "&amp;$I$26,"")&amp;IF($I$27&lt;&gt;"",", "&amp;$I$27,"")&amp;IF($I$28&lt;&gt;"",", "&amp;$I$28,"")&amp;IF($I$29&lt;&gt;"",", "&amp;$I$29,"")&amp;IF($I$30&lt;&gt;"",", "&amp;$I$30,"")&amp;IF($I$31&lt;&gt;"",", "&amp;$I$31,"")&amp;IF($I$32&lt;&gt;"",", "&amp;$I$32,""))="","(none)",MID(IF($I$5&lt;&gt;"",", "&amp;$I$5,"")&amp;IF($I$6&lt;&gt;"",", "&amp;$I$6,"")&amp;IF($I$7&lt;&gt;"",", "&amp;$I$7,"")&amp;IF($I$8&lt;&gt;"",", "&amp;$I$8,"")&amp;IF($I$9&lt;&gt;"",", "&amp;$I$9,"")&amp;IF($I$10&lt;&gt;"",", "&amp;$I$10,"")&amp;IF($I$11&lt;&gt;"",", "&amp;$I$11,"")&amp;IF($I$12&lt;&gt;"",", "&amp;$I$12,"")&amp;IF($I$13&lt;&gt;"",", "&amp;$I$13,"")&amp;IF($I$14&lt;&gt;"",", "&amp;$I$14,"")&amp;IF($I$15&lt;&gt;"",", "&amp;$I$15,"")&amp;IF($I$16&lt;&gt;"",", "&amp;$I$16,"")&amp;IF($I$17&lt;&gt;"",", "&amp;$I$17,"")&amp;IF($I$18&lt;&gt;"",", "&amp;$I$18,"")&amp;IF($I$25&lt;&gt;"",", "&amp;$I$25,"")&amp;IF($I$26&lt;&gt;"",", "&amp;$I$26,"")&amp;IF($I$27&lt;&gt;"",", "&amp;$I$27,"")&amp;IF($I$28&lt;&gt;"",", "&amp;$I$28,"")&amp;IF($I$29&lt;&gt;"",", "&amp;$I$29,"")&amp;IF($I$30&lt;&gt;"",", "&amp;$I$30,"")&amp;IF($I$31&lt;&gt;"",", "&amp;$I$31,"")&amp;IF($I$32&lt;&gt;"",", "&amp;$I$32,""),3,32767))</x:f>
        <x:v>(none)</x:v>
      </x:c>
    </x:row>
    <x:row r="21" ht="14.25" hidden="0" customHeight="1">
      <x:c r="A21" s="4" t="s">
        <x:v>839</x:v>
      </x:c>
      <x:c r="B21" s="76" t="n">
        <x:f aca="0">SUMPRODUCT(--(B5:B18="YES"),--(C5:C18="INVALID"))+SUMPRODUCT(--(B25:B32="YES"),--(C25:C32="INVALID"))</x:f>
        <x:v>0</x:v>
      </x:c>
      <x:c r="C21" s="4" t="s">
        <x:v>840</x:v>
      </x:c>
      <x:c r="I21" s="4" t="s">
        <x:v>841</x:v>
      </x:c>
      <x:c r="J21" s="4" t="str">
        <x:f aca="0">IF((IF($J$5&lt;&gt;"",", "&amp;$J$5,"")&amp;IF($J$6&lt;&gt;"",", "&amp;$J$6,"")&amp;IF($J$7&lt;&gt;"",", "&amp;$J$7,"")&amp;IF($J$8&lt;&gt;"",", "&amp;$J$8,"")&amp;IF($J$9&lt;&gt;"",", "&amp;$J$9,"")&amp;IF($J$10&lt;&gt;"",", "&amp;$J$10,"")&amp;IF($J$11&lt;&gt;"",", "&amp;$J$11,"")&amp;IF($J$12&lt;&gt;"",", "&amp;$J$12,"")&amp;IF($J$13&lt;&gt;"",", "&amp;$J$13,"")&amp;IF($J$14&lt;&gt;"",", "&amp;$J$14,"")&amp;IF($J$15&lt;&gt;"",", "&amp;$J$15,"")&amp;IF($J$16&lt;&gt;"",", "&amp;$J$16,"")&amp;IF($J$17&lt;&gt;"",", "&amp;$J$17,"")&amp;IF($J$18&lt;&gt;"",", "&amp;$J$18,"")&amp;IF($J$25&lt;&gt;"",", "&amp;$J$25,"")&amp;IF($J$26&lt;&gt;"",", "&amp;$J$26,"")&amp;IF($J$27&lt;&gt;"",", "&amp;$J$27,"")&amp;IF($J$28&lt;&gt;"",", "&amp;$J$28,"")&amp;IF($J$29&lt;&gt;"",", "&amp;$J$29,"")&amp;IF($J$30&lt;&gt;"",", "&amp;$J$30,"")&amp;IF($J$31&lt;&gt;"",", "&amp;$J$31,"")&amp;IF($J$32&lt;&gt;"",", "&amp;$J$32,""))="","(none)",MID(IF($J$5&lt;&gt;"",", "&amp;$J$5,"")&amp;IF($J$6&lt;&gt;"",", "&amp;$J$6,"")&amp;IF($J$7&lt;&gt;"",", "&amp;$J$7,"")&amp;IF($J$8&lt;&gt;"",", "&amp;$J$8,"")&amp;IF($J$9&lt;&gt;"",", "&amp;$J$9,"")&amp;IF($J$10&lt;&gt;"",", "&amp;$J$10,"")&amp;IF($J$11&lt;&gt;"",", "&amp;$J$11,"")&amp;IF($J$12&lt;&gt;"",", "&amp;$J$12,"")&amp;IF($J$13&lt;&gt;"",", "&amp;$J$13,"")&amp;IF($J$14&lt;&gt;"",", "&amp;$J$14,"")&amp;IF($J$15&lt;&gt;"",", "&amp;$J$15,"")&amp;IF($J$16&lt;&gt;"",", "&amp;$J$16,"")&amp;IF($J$17&lt;&gt;"",", "&amp;$J$17,"")&amp;IF($J$18&lt;&gt;"",", "&amp;$J$18,"")&amp;IF($J$25&lt;&gt;"",", "&amp;$J$25,"")&amp;IF($J$26&lt;&gt;"",", "&amp;$J$26,"")&amp;IF($J$27&lt;&gt;"",", "&amp;$J$27,"")&amp;IF($J$28&lt;&gt;"",", "&amp;$J$28,"")&amp;IF($J$29&lt;&gt;"",", "&amp;$J$29,"")&amp;IF($J$30&lt;&gt;"",", "&amp;$J$30,"")&amp;IF($J$31&lt;&gt;"",", "&amp;$J$31,"")&amp;IF($J$32&lt;&gt;"",", "&amp;$J$32,""),3,32767))</x:f>
        <x:v>(none)</x:v>
      </x:c>
    </x:row>
    <x:row r="22" ht="14.25" hidden="0" customHeight="1">
      <x:c r="A22" s="4" t="s">
        <x:v>842</x:v>
      </x:c>
      <x:c r="B22" s="76" t="n">
        <x:f aca="0">SUMPRODUCT(--(B5:B18="YES"),--(C5:C18="ESCALATE"))+SUMPRODUCT(--(B25:B32="YES"),--(C25:C32="ESCALATE"))</x:f>
        <x:v>0</x:v>
      </x:c>
      <x:c r="C22" s="4" t="s">
        <x:v>840</x:v>
      </x:c>
      <x:c r="I22" s="4" t="s">
        <x:v>843</x:v>
      </x:c>
      <x:c r="J22" s="4" t="str">
        <x:f aca="0">IF((IF($K$5&lt;&gt;"",", "&amp;$K$5,"")&amp;IF($K$6&lt;&gt;"",", "&amp;$K$6,"")&amp;IF($K$7&lt;&gt;"",", "&amp;$K$7,"")&amp;IF($K$8&lt;&gt;"",", "&amp;$K$8,"")&amp;IF($K$9&lt;&gt;"",", "&amp;$K$9,"")&amp;IF($K$10&lt;&gt;"",", "&amp;$K$10,"")&amp;IF($K$11&lt;&gt;"",", "&amp;$K$11,"")&amp;IF($K$12&lt;&gt;"",", "&amp;$K$12,"")&amp;IF($K$13&lt;&gt;"",", "&amp;$K$13,"")&amp;IF($K$14&lt;&gt;"",", "&amp;$K$14,"")&amp;IF($K$15&lt;&gt;"",", "&amp;$K$15,"")&amp;IF($K$16&lt;&gt;"",", "&amp;$K$16,"")&amp;IF($K$17&lt;&gt;"",", "&amp;$K$17,"")&amp;IF($K$18&lt;&gt;"",", "&amp;$K$18,"")&amp;IF($K$25&lt;&gt;"",", "&amp;$K$25,"")&amp;IF($K$26&lt;&gt;"",", "&amp;$K$26,"")&amp;IF($K$27&lt;&gt;"",", "&amp;$K$27,"")&amp;IF($K$28&lt;&gt;"",", "&amp;$K$28,"")&amp;IF($K$29&lt;&gt;"",", "&amp;$K$29,"")&amp;IF($K$30&lt;&gt;"",", "&amp;$K$30,"")&amp;IF($K$31&lt;&gt;"",", "&amp;$K$31,"")&amp;IF($K$32&lt;&gt;"",", "&amp;$K$32,""))="","(none)",MID(IF($K$5&lt;&gt;"",", "&amp;$K$5,"")&amp;IF($K$6&lt;&gt;"",", "&amp;$K$6,"")&amp;IF($K$7&lt;&gt;"",", "&amp;$K$7,"")&amp;IF($K$8&lt;&gt;"",", "&amp;$K$8,"")&amp;IF($K$9&lt;&gt;"",", "&amp;$K$9,"")&amp;IF($K$10&lt;&gt;"",", "&amp;$K$10,"")&amp;IF($K$11&lt;&gt;"",", "&amp;$K$11,"")&amp;IF($K$12&lt;&gt;"",", "&amp;$K$12,"")&amp;IF($K$13&lt;&gt;"",", "&amp;$K$13,"")&amp;IF($K$14&lt;&gt;"",", "&amp;$K$14,"")&amp;IF($K$15&lt;&gt;"",", "&amp;$K$15,"")&amp;IF($K$16&lt;&gt;"",", "&amp;$K$16,"")&amp;IF($K$17&lt;&gt;"",", "&amp;$K$17,"")&amp;IF($K$18&lt;&gt;"",", "&amp;$K$18,"")&amp;IF($K$25&lt;&gt;"",", "&amp;$K$25,"")&amp;IF($K$26&lt;&gt;"",", "&amp;$K$26,"")&amp;IF($K$27&lt;&gt;"",", "&amp;$K$27,"")&amp;IF($K$28&lt;&gt;"",", "&amp;$K$28,"")&amp;IF($K$29&lt;&gt;"",", "&amp;$K$29,"")&amp;IF($K$30&lt;&gt;"",", "&amp;$K$30,"")&amp;IF($K$31&lt;&gt;"",", "&amp;$K$31,"")&amp;IF($K$32&lt;&gt;"",", "&amp;$K$32,""),3,32767))</x:f>
        <x:v>NONDECISIVE_GAP_REVIEW</x:v>
      </x:c>
    </x:row>
    <x:row r="23" ht="14.25" hidden="0" customHeight="1">
      <x:c r="A23" s="4" t="s">
        <x:v>844</x:v>
      </x:c>
      <x:c r="B23" s="76" t="n">
        <x:f aca="0">SUMPRODUCT(--(B5:B18="YES"),--(C5:C18="REVIEW"))+SUMPRODUCT(--(B25:B32="YES"),--(C25:C32="REVIEW"))</x:f>
        <x:v>1</x:v>
      </x:c>
      <x:c r="C23" s="4" t="s">
        <x:v>840</x:v>
      </x:c>
    </x:row>
    <x:row r="24" ht="14.25" hidden="0" customHeight="1">
      <x:c r="A24" s="4" t="s">
        <x:v>845</x:v>
      </x:c>
      <x:c r="B24" s="76" t="n">
        <x:f aca="0">SUMPRODUCT(--(B5:B18="YES"))+SUMPRODUCT(--(B25:B32="YES"))</x:f>
        <x:v>1</x:v>
      </x:c>
      <x:c r="C24" s="4" t="s">
        <x:v>840</x:v>
      </x:c>
    </x:row>
    <x:row r="25" ht="13.5" hidden="0" customHeight="1">
      <x:c r="A25" s="77" t="s">
        <x:v>846</x:v>
      </x:c>
      <x:c r="B25" s="77" t="str">
        <x:f aca="0">IF(AND(CANON!B133="REDUCED",OR(CANON!B134="NONE",CANON!B134="")),"YES","NO")</x:f>
        <x:v>NO</x:v>
      </x:c>
      <x:c r="C25" s="77" t="s">
        <x:v>817</x:v>
      </x:c>
      <x:c r="D25" s="77" t="s">
        <x:v>847</x:v>
      </x:c>
      <x:c r="E25" s="77" t="s">
        <x:v>848</x:v>
      </x:c>
      <x:c r="F25" s="77" t="s">
        <x:v>849</x:v>
      </x:c>
      <x:c r="G25" s="4" t="str">
        <x:f aca="0">IF(B25="YES",A25,"")</x:f>
      </x:c>
      <x:c r="H25" s="4" t="str">
        <x:f aca="0">IF(B25="YES",C25,"")</x:f>
      </x:c>
      <x:c r="I25" s="4" t="str">
        <x:f aca="0">IF($H25="INVALID",$G25,"")</x:f>
      </x:c>
      <x:c r="J25" s="4" t="str">
        <x:f aca="0">IF($H25="ESCALATE",$G25,"")</x:f>
      </x:c>
      <x:c r="K25" s="4" t="str">
        <x:f aca="0">IF($H25="REVIEW",$G25,"")</x:f>
      </x:c>
      <x:c r="L25" s="4" t="str">
        <x:f aca="0">IF($G25&lt;&gt;"",$G25&amp;" ("&amp;$H25&amp;")","")</x:f>
      </x:c>
    </x:row>
    <x:row r="26" ht="14.25" hidden="0" customHeight="1">
      <x:c r="A26" s="77" t="s">
        <x:v>850</x:v>
      </x:c>
      <x:c r="B26" s="77" t="str">
        <x:f aca="0">IF(AND(CANON!$B$10&gt;=2,CANON!B130&lt;IF(CANON!$B$10=2,1,IF(CANON!$B$10=3,2,0))),"YES","NO")</x:f>
        <x:v>NO</x:v>
      </x:c>
      <x:c r="C26" s="77" t="s">
        <x:v>790</x:v>
      </x:c>
      <x:c r="D26" s="77" t="s">
        <x:v>851</x:v>
      </x:c>
      <x:c r="E26" s="77" t="s">
        <x:v>852</x:v>
      </x:c>
      <x:c r="F26" s="77" t="s">
        <x:v>853</x:v>
      </x:c>
      <x:c r="G26" s="4" t="str">
        <x:f aca="0">IF(B26="YES",A26,"")</x:f>
      </x:c>
      <x:c r="H26" s="4" t="str">
        <x:f aca="0">IF(B26="YES",C26,"")</x:f>
      </x:c>
      <x:c r="I26" s="4" t="str">
        <x:f aca="0">IF($H26="INVALID",$G26,"")</x:f>
      </x:c>
      <x:c r="J26" s="4" t="str">
        <x:f aca="0">IF($H26="ESCALATE",$G26,"")</x:f>
      </x:c>
      <x:c r="K26" s="4" t="str">
        <x:f aca="0">IF($H26="REVIEW",$G26,"")</x:f>
      </x:c>
      <x:c r="L26" s="4" t="str">
        <x:f aca="0">IF($G26&lt;&gt;"",$G26&amp;" ("&amp;$H26&amp;")","")</x:f>
      </x:c>
    </x:row>
    <x:row r="27" ht="14.25" hidden="0" customHeight="1">
      <x:c r="A27" s="77" t="s">
        <x:v>854</x:v>
      </x:c>
      <x:c r="B27" s="77" t="str">
        <x:f aca="0">IF(AND(CANON!$B$10&gt;=2,CANON!B130=IF(CANON!$B$10=2,1,IF(CANON!$B$10=3,2,0)),CANON!B131=""),"YES","NO")</x:f>
        <x:v>NO</x:v>
      </x:c>
      <x:c r="C27" s="77" t="s">
        <x:v>817</x:v>
      </x:c>
      <x:c r="D27" s="77" t="s">
        <x:v>855</x:v>
      </x:c>
      <x:c r="E27" s="77" t="s">
        <x:v>856</x:v>
      </x:c>
      <x:c r="F27" s="77" t="s">
        <x:v>853</x:v>
      </x:c>
      <x:c r="G27" s="4" t="str">
        <x:f aca="0">IF(B27="YES",A27,"")</x:f>
      </x:c>
      <x:c r="H27" s="4" t="str">
        <x:f aca="0">IF(B27="YES",C27,"")</x:f>
      </x:c>
      <x:c r="I27" s="4" t="str">
        <x:f aca="0">IF($H27="INVALID",$G27,"")</x:f>
      </x:c>
      <x:c r="J27" s="4" t="str">
        <x:f aca="0">IF($H27="ESCALATE",$G27,"")</x:f>
      </x:c>
      <x:c r="K27" s="4" t="str">
        <x:f aca="0">IF($H27="REVIEW",$G27,"")</x:f>
      </x:c>
      <x:c r="L27" s="4" t="str">
        <x:f aca="0">IF($G27&lt;&gt;"",$G27&amp;" ("&amp;$H27&amp;")","")</x:f>
      </x:c>
    </x:row>
    <x:row r="28" ht="13.5" hidden="0" customHeight="1">
      <x:c r="A28" s="77" t="s">
        <x:v>857</x:v>
      </x:c>
      <x:c r="B28" s="77" t="str">
        <x:f aca="0">IF(AND(CANON!$B$10&gt;=2,OR(CANON!B137="",CANON!B137=0)),"YES","NO")</x:f>
        <x:v>NO</x:v>
      </x:c>
      <x:c r="C28" s="77" t="s">
        <x:v>786</x:v>
      </x:c>
      <x:c r="D28" s="77" t="s">
        <x:v>858</x:v>
      </x:c>
      <x:c r="E28" s="77" t="s">
        <x:v>859</x:v>
      </x:c>
      <x:c r="F28" s="77" t="s">
        <x:v>860</x:v>
      </x:c>
      <x:c r="G28" s="4" t="str">
        <x:f aca="0">IF(B28="YES",A28,"")</x:f>
      </x:c>
      <x:c r="H28" s="4" t="str">
        <x:f aca="0">IF(B28="YES",C28,"")</x:f>
      </x:c>
      <x:c r="I28" s="4" t="str">
        <x:f aca="0">IF($H28="INVALID",$G28,"")</x:f>
      </x:c>
      <x:c r="J28" s="4" t="str">
        <x:f aca="0">IF($H28="ESCALATE",$G28,"")</x:f>
      </x:c>
      <x:c r="K28" s="4" t="str">
        <x:f aca="0">IF($H28="REVIEW",$G28,"")</x:f>
      </x:c>
      <x:c r="L28" s="4" t="str">
        <x:f aca="0">IF($G28&lt;&gt;"",$G28&amp;" ("&amp;$H28&amp;")","")</x:f>
      </x:c>
    </x:row>
    <x:row r="29" ht="14.25" hidden="0" customHeight="1">
      <x:c r="A29" s="1" t="s">
        <x:v>861</x:v>
      </x:c>
      <x:c r="B29" s="1" t="str">
        <x:f aca="0">IF(AND(CANON!B10=2,COUNTIFS(Impact_Input!A7:A200,"&lt;&gt;",Impact_Input!K7:K200,"&lt;&gt;1")&gt;0),"YES","NO")</x:f>
        <x:v>NO</x:v>
      </x:c>
      <x:c r="C29" s="1" t="s">
        <x:v>786</x:v>
      </x:c>
      <x:c r="D29" s="1" t="s">
        <x:v>862</x:v>
      </x:c>
      <x:c r="E29" s="1" t="s">
        <x:v>863</x:v>
      </x:c>
      <x:c r="F29" t="s">
        <x:v>864</x:v>
      </x:c>
      <x:c r="G29" s="4" t="str">
        <x:f aca="0">IF(B29="YES",A29,"")</x:f>
      </x:c>
      <x:c r="H29" s="4" t="str">
        <x:f aca="0">IF(B29="YES",C29,"")</x:f>
      </x:c>
      <x:c r="I29" s="4" t="str">
        <x:f aca="0">IF($H29="INVALID",$G29,"")</x:f>
      </x:c>
      <x:c r="J29" s="4" t="str">
        <x:f aca="0">IF($H29="ESCALATE",$G29,"")</x:f>
      </x:c>
      <x:c r="K29" s="4" t="str">
        <x:f aca="0">IF($H29="REVIEW",$G29,"")</x:f>
      </x:c>
      <x:c r="L29" s="4" t="str">
        <x:f aca="0">IF($G29&lt;&gt;"",$G29&amp;" ("&amp;$H29&amp;")","")</x:f>
      </x:c>
    </x:row>
    <x:row r="30" ht="14.25" hidden="0" customHeight="1">
      <x:c r="A30" s="1" t="s">
        <x:v>865</x:v>
      </x:c>
      <x:c r="B30" s="1" t="str">
        <x:f aca="0">IF(AND(CANON!B10&gt;=2,OR(PCC!B27="",PCC!B28="")),"YES","NO")</x:f>
        <x:v>NO</x:v>
      </x:c>
      <x:c r="C30" s="1" t="s">
        <x:v>786</x:v>
      </x:c>
      <x:c r="D30" s="1" t="s">
        <x:v>866</x:v>
      </x:c>
      <x:c r="E30" s="1" t="s">
        <x:v>867</x:v>
      </x:c>
      <x:c r="F30" t="s">
        <x:v>868</x:v>
      </x:c>
      <x:c r="G30" s="4" t="str">
        <x:f aca="0">IF(B30="YES",A30,"")</x:f>
      </x:c>
      <x:c r="H30" s="4" t="str">
        <x:f aca="0">IF(B30="YES",C30,"")</x:f>
      </x:c>
      <x:c r="I30" s="4" t="str">
        <x:f aca="0">IF($H30="INVALID",$G30,"")</x:f>
      </x:c>
      <x:c r="J30" s="4" t="str">
        <x:f aca="0">IF($H30="ESCALATE",$G30,"")</x:f>
      </x:c>
      <x:c r="K30" s="4" t="str">
        <x:f aca="0">IF($H30="REVIEW",$G30,"")</x:f>
      </x:c>
      <x:c r="L30" s="4" t="str">
        <x:f aca="0">IF($G30&lt;&gt;"",$G30&amp;" ("&amp;$H30&amp;")","")</x:f>
      </x:c>
    </x:row>
    <x:row r="31" ht="14.25" hidden="0" customHeight="1">
      <x:c r="A31" s="1" t="s">
        <x:v>869</x:v>
      </x:c>
      <x:c r="B31" s="1" t="s">
        <x:v>36</x:v>
      </x:c>
      <x:c r="C31" s="1" t="s">
        <x:v>790</x:v>
      </x:c>
      <x:c r="D31" s="1" t="s">
        <x:v>870</x:v>
      </x:c>
      <x:c r="E31" s="1" t="s">
        <x:v>871</x:v>
      </x:c>
      <x:c r="F31" t="s">
        <x:v>872</x:v>
      </x:c>
      <x:c r="G31" s="4" t="str">
        <x:f aca="0">IF(B31="YES",A31,"")</x:f>
      </x:c>
      <x:c r="H31" s="4" t="str">
        <x:f aca="0">IF(B31="YES",C31,"")</x:f>
      </x:c>
      <x:c r="I31" s="4" t="str">
        <x:f aca="0">IF($H31="INVALID",$G31,"")</x:f>
      </x:c>
      <x:c r="J31" s="4" t="str">
        <x:f aca="0">IF($H31="ESCALATE",$G31,"")</x:f>
      </x:c>
      <x:c r="K31" s="4" t="str">
        <x:f aca="0">IF($H31="REVIEW",$G31,"")</x:f>
      </x:c>
      <x:c r="L31" s="4" t="str">
        <x:f aca="0">IF($G31&lt;&gt;"",$G31&amp;" ("&amp;$H31&amp;")","")</x:f>
      </x:c>
    </x:row>
    <x:row r="32" ht="13.800000190734863" hidden="0">
      <x:c r="A32" s="1" t="s">
        <x:v>873</x:v>
      </x:c>
      <x:c r="B32" s="1" t="s">
        <x:v>36</x:v>
      </x:c>
      <x:c r="C32" s="1" t="s">
        <x:v>790</x:v>
      </x:c>
      <x:c r="D32" s="1" t="s">
        <x:v>874</x:v>
      </x:c>
      <x:c r="E32" s="1" t="s">
        <x:v>875</x:v>
      </x:c>
      <x:c r="F32" t="s">
        <x:v>876</x:v>
      </x:c>
      <x:c r="G32" s="4" t="str">
        <x:f aca="0">IF(B32="YES",A32,"")</x:f>
      </x:c>
      <x:c r="H32" s="4" t="str">
        <x:f aca="0">IF(B32="YES",C32,"")</x:f>
      </x:c>
      <x:c r="I32" s="4" t="str">
        <x:f aca="0">IF($H32="INVALID",$G32,"")</x:f>
      </x:c>
      <x:c r="J32" s="4" t="str">
        <x:f aca="0">IF($H32="ESCALATE",$G32,"")</x:f>
      </x:c>
      <x:c r="K32" s="4" t="str">
        <x:f aca="0">IF($H32="REVIEW",$G32,"")</x:f>
      </x:c>
      <x:c r="L32" s="4" t="str">
        <x:f aca="0">IF($G32&lt;&gt;"",$G32&amp;" ("&amp;$H32&amp;")","")</x:f>
      </x:c>
    </x:row>
    <x:row r="33" ht="14.25" hidden="0">
      <x:c r="A33" s="3" t="s">
        <x:v>877</x:v>
      </x:c>
    </x:row>
    <x:row r="34" ht="14.25" hidden="0" customHeight="1">
      <x:c r="A34" s="78" t="s">
        <x:v>878</x:v>
      </x:c>
      <x:c r="B34" s="78"/>
      <x:c r="C34" s="78"/>
      <x:c r="D34" s="78"/>
      <x:c r="E34" s="78"/>
      <x:c r="F34" s="78"/>
    </x:row>
    <x:row r="35" ht="41.25" hidden="0" customHeight="1">
      <x:c r="A35" s="78" t="s">
        <x:v>879</x:v>
      </x:c>
      <x:c r="B35" s="78"/>
      <x:c r="C35" s="78"/>
      <x:c r="D35" s="78"/>
      <x:c r="E35" s="78"/>
      <x:c r="F35" s="78"/>
    </x:row>
    <x:row r="36" ht="13.800000190734863" hidden="0"/>
    <x:row r="37" ht="14.25" hidden="0" customHeight="1"/>
    <x:row r="38" ht="28.5" hidden="0" customHeight="1">
      <x:c r="A38" s="70" t="s">
        <x:v>880</x:v>
      </x:c>
    </x:row>
    <x:row r="39" ht="28.5" hidden="0" customHeight="1">
      <x:c r="A39" s="4" t="s">
        <x:v>881</x:v>
      </x:c>
    </x:row>
    <x:row r="40" ht="14.25" hidden="0" customHeight="1"/>
    <x:row r="41" ht="28.5" hidden="0" customHeight="1">
      <x:c r="A41" s="79" t="s">
        <x:v>779</x:v>
      </x:c>
      <x:c r="B41" s="79" t="s">
        <x:v>882</x:v>
      </x:c>
      <x:c r="C41" s="79" t="s">
        <x:v>883</x:v>
      </x:c>
      <x:c r="D41" s="79" t="s">
        <x:v>884</x:v>
      </x:c>
    </x:row>
    <x:row r="42" ht="28.5" hidden="0" customHeight="1">
      <x:c r="A42" s="80" t="s">
        <x:v>793</x:v>
      </x:c>
      <x:c r="B42" s="80" t="s">
        <x:v>885</x:v>
      </x:c>
      <x:c r="C42" s="80" t="s">
        <x:v>886</x:v>
      </x:c>
      <x:c r="D42" s="80" t="s">
        <x:v>887</x:v>
      </x:c>
    </x:row>
    <x:row r="43" ht="28.5" hidden="0" customHeight="1">
      <x:c r="A43" s="80" t="s">
        <x:v>796</x:v>
      </x:c>
      <x:c r="B43" s="80" t="s">
        <x:v>885</x:v>
      </x:c>
      <x:c r="C43" s="80" t="s">
        <x:v>886</x:v>
      </x:c>
      <x:c r="D43" s="80" t="s">
        <x:v>888</x:v>
      </x:c>
    </x:row>
    <x:row r="44" ht="28.5" hidden="0" customHeight="1">
      <x:c r="A44" s="80" t="s">
        <x:v>799</x:v>
      </x:c>
      <x:c r="B44" s="80" t="s">
        <x:v>885</x:v>
      </x:c>
      <x:c r="C44" s="80" t="s">
        <x:v>886</x:v>
      </x:c>
      <x:c r="D44" s="80" t="s">
        <x:v>889</x:v>
      </x:c>
    </x:row>
    <x:row r="45" ht="14.25" hidden="0" customHeight="1">
      <x:c r="A45" s="80" t="s">
        <x:v>832</x:v>
      </x:c>
      <x:c r="B45" s="80" t="s">
        <x:v>885</x:v>
      </x:c>
      <x:c r="C45" s="80" t="s">
        <x:v>886</x:v>
      </x:c>
      <x:c r="D45" s="80" t="s">
        <x:v>890</x:v>
      </x:c>
    </x:row>
    <x:row r="46" ht="55.20000076293945" hidden="0">
      <x:c r="A46" s="80" t="s">
        <x:v>821</x:v>
      </x:c>
      <x:c r="B46" s="80" t="s">
        <x:v>885</x:v>
      </x:c>
      <x:c r="C46" s="80" t="s">
        <x:v>891</x:v>
      </x:c>
      <x:c r="D46" s="80" t="s">
        <x:v>892</x:v>
      </x:c>
    </x:row>
    <x:row r="47" ht="41.75" hidden="0">
      <x:c r="A47" s="80" t="s">
        <x:v>824</x:v>
      </x:c>
      <x:c r="B47" s="80" t="s">
        <x:v>885</x:v>
      </x:c>
      <x:c r="C47" s="80" t="s">
        <x:v>893</x:v>
      </x:c>
      <x:c r="D47" s="80" t="s">
        <x:v>894</x:v>
      </x:c>
    </x:row>
    <x:row r="48" ht="41.75" hidden="0">
      <x:c r="A48" s="80" t="s">
        <x:v>828</x:v>
      </x:c>
      <x:c r="B48" s="80" t="s">
        <x:v>885</x:v>
      </x:c>
      <x:c r="C48" s="80" t="s">
        <x:v>895</x:v>
      </x:c>
      <x:c r="D48" s="80" t="s">
        <x:v>896</x:v>
      </x:c>
    </x:row>
    <x:row r="49" ht="28.350000381469727" hidden="0">
      <x:c r="A49" s="80" t="s">
        <x:v>846</x:v>
      </x:c>
      <x:c r="B49" s="80" t="s">
        <x:v>885</x:v>
      </x:c>
      <x:c r="C49" s="80" t="s">
        <x:v>897</x:v>
      </x:c>
      <x:c r="D49" s="80" t="s">
        <x:v>898</x:v>
      </x:c>
    </x:row>
  </x:sheetData>
  <x:mergeCells>
    <x:mergeCell ref="A34:F34"/>
    <x:mergeCell ref="A35:F35"/>
  </x:mergeCells>
  <x:pageMargins left="0.7" right="0.7" top="0.75" bottom="0.75" header="0.3" footer="0.3"/>
</x:worksheet>
</file>

<file path=xl/worksheets/sheet21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cols>
    <x:col min="1" max="1" width="28" hidden="0" customWidth="1"/>
    <x:col min="2" max="2" width="90" hidden="0" customWidth="1"/>
    <x:col min="3" max="3" width="55" hidden="0" customWidth="1"/>
  </x:cols>
  <x:sheetData>
    <x:row r="1" ht="14.25" hidden="0" customHeight="1">
      <x:c r="A1" s="22" t="s">
        <x:v>899</x:v>
      </x:c>
      <x:c r="B1" s="22"/>
      <x:c r="C1" s="22"/>
      <x:c r="D1" s="22"/>
      <x:c r="E1" s="22"/>
      <x:c r="F1" s="22"/>
      <x:c r="G1" s="22"/>
      <x:c r="H1" s="22"/>
      <x:c r="I1" s="22"/>
      <x:c r="J1" s="22"/>
    </x:row>
    <x:row r="2" ht="13.5" hidden="0" customHeight="1"/>
    <x:row r="3" ht="14.25" hidden="0" customHeight="1">
      <x:c r="A3" s="24" t="s">
        <x:v>900</x:v>
      </x:c>
    </x:row>
    <x:row r="4" ht="14.25" hidden="0" customHeight="1">
      <x:c r="A4" s="4" t="s">
        <x:v>901</x:v>
      </x:c>
      <x:c r="B4" s="4" t="s">
        <x:v>902</x:v>
      </x:c>
    </x:row>
    <x:row r="5" ht="14.25" hidden="0" customHeight="1">
      <x:c r="A5" s="4" t="s">
        <x:v>903</x:v>
      </x:c>
      <x:c r="B5" s="4" t="s">
        <x:v>904</x:v>
      </x:c>
    </x:row>
    <x:row r="6" ht="14.25" hidden="0" customHeight="1">
      <x:c r="A6" s="4" t="s">
        <x:v>17</x:v>
      </x:c>
      <x:c r="B6" s="4" t="s">
        <x:v>905</x:v>
      </x:c>
    </x:row>
    <x:row r="7" ht="14.25" hidden="0" customHeight="1">
      <x:c r="A7" s="4" t="s">
        <x:v>906</x:v>
      </x:c>
      <x:c r="B7" s="4" t="s">
        <x:v>907</x:v>
      </x:c>
    </x:row>
    <x:row r="8" ht="14.25" hidden="0" customHeight="1">
      <x:c r="A8" s="4" t="s">
        <x:v>908</x:v>
      </x:c>
      <x:c r="B8" s="4" t="s">
        <x:v>909</x:v>
      </x:c>
    </x:row>
    <x:row r="9" ht="14.25" hidden="0" customHeight="1">
      <x:c r="A9" s="4" t="s">
        <x:v>910</x:v>
      </x:c>
      <x:c r="B9" s="4" t="s">
        <x:v>911</x:v>
      </x:c>
    </x:row>
    <x:row r="10" ht="14.25" hidden="0" customHeight="1">
      <x:c r="A10" s="4" t="s">
        <x:v>912</x:v>
      </x:c>
      <x:c r="B10" s="4" t="s">
        <x:v>33</x:v>
      </x:c>
    </x:row>
    <x:row r="11" ht="14.25" hidden="0" customHeight="1">
      <x:c r="A11" s="4" t="s">
        <x:v>913</x:v>
      </x:c>
      <x:c r="B11" s="23" t="str">
        <x:f aca="0">CANON!B7</x:f>
        <x:v>v2.3</x:v>
      </x:c>
    </x:row>
    <x:row r="12" ht="14.25" hidden="0" customHeight="1">
      <x:c r="A12" s="4" t="s">
        <x:v>914</x:v>
      </x:c>
      <x:c r="B12" s="4" t="str">
        <x:f aca="0">CANON!B5</x:f>
        <x:v>RippleLogic v9.0</x:v>
      </x:c>
    </x:row>
    <x:row r="13" ht="14.25" hidden="0" customHeight="1">
      <x:c r="A13" s="4" t="s">
        <x:v>915</x:v>
      </x:c>
      <x:c r="B13" s="4" t="str">
        <x:f aca="0">CANON!B6</x:f>
        <x:v>SGP v4.3</x:v>
      </x:c>
    </x:row>
    <x:row r="14" ht="14.25" hidden="0" customHeight="1">
      <x:c r="B14" s="4" t="s">
        <x:v>76</x:v>
      </x:c>
    </x:row>
    <x:row r="15" ht="14.25" hidden="0" customHeight="1">
      <x:c r="A15" s="4" t="s">
        <x:v>112</x:v>
      </x:c>
      <x:c r="B15" s="4" t="str">
        <x:f aca="0">IF(CANON!B81="YES","YES (Tier 2 Conformant, "&amp;CANON!B7&amp;")","NO")</x:f>
        <x:v>YES (Tier 2 Conformant, v2.3)</x:v>
      </x:c>
    </x:row>
    <x:row r="16" ht="14.25" hidden="0" customHeight="1">
      <x:c r="A16" s="24" t="s">
        <x:v>916</x:v>
      </x:c>
    </x:row>
    <x:row r="17" ht="14.25" hidden="0" customHeight="1">
      <x:c r="A17" s="4" t="s">
        <x:v>917</x:v>
      </x:c>
      <x:c r="B17" s="4" t="str">
        <x:f aca="0">IF(Config!B17="PLSS_LOCAL","PLSS_LOCAL (floor-preserving local scope profile)","UNIFORM (1/7 each)")</x:f>
        <x:v>PLSS_LOCAL (floor-preserving local scope profile)</x:v>
      </x:c>
    </x:row>
    <x:row r="18" ht="14.25" hidden="0" customHeight="1">
      <x:c r="A18" s="4" t="s">
        <x:v>918</x:v>
      </x:c>
      <x:c r="B18" s="4" t="s">
        <x:v>173</x:v>
      </x:c>
    </x:row>
    <x:row r="19" ht="14.25" hidden="0" customHeight="1">
      <x:c r="A19" s="4" t="s">
        <x:v>919</x:v>
      </x:c>
      <x:c r="B19" s="4" t="s">
        <x:v>920</x:v>
      </x:c>
    </x:row>
    <x:row r="20" ht="14.25" hidden="0" customHeight="1">
      <x:c r="A20" s="4" t="s">
        <x:v>921</x:v>
      </x:c>
      <x:c r="B20" s="1" t="n">
        <x:v>2</x:v>
      </x:c>
    </x:row>
    <x:row r="21" ht="14.25" hidden="0" customHeight="1">
      <x:c r="A21" s="4" t="s">
        <x:v>922</x:v>
      </x:c>
      <x:c r="B21" s="1" t="n">
        <x:v>2</x:v>
      </x:c>
    </x:row>
    <x:row r="22" ht="14.25" hidden="0" customHeight="1">
      <x:c r="A22" s="4" t="s">
        <x:v>923</x:v>
      </x:c>
      <x:c r="B22" s="1" t="n">
        <x:v>-0.1</x:v>
      </x:c>
    </x:row>
    <x:row r="23" ht="14.25" hidden="0" customHeight="1">
      <x:c r="A23" s="4" t="s">
        <x:v>341</x:v>
      </x:c>
      <x:c r="B23" s="1" t="n">
        <x:v>0.05</x:v>
      </x:c>
    </x:row>
    <x:row r="24" ht="14.25" hidden="0" customHeight="1">
      <x:c r="A24" s="4" t="s">
        <x:v>135</x:v>
      </x:c>
      <x:c r="B24" s="1" t="n">
        <x:v>25</x:v>
      </x:c>
    </x:row>
    <x:row r="25" ht="14.25" hidden="0" customHeight="1">
      <x:c r="A25" s="4" t="s">
        <x:v>924</x:v>
      </x:c>
      <x:c r="B25" s="4" t="n">
        <x:f aca="0">CANON!B18</x:f>
        <x:v>0.95</x:v>
      </x:c>
    </x:row>
    <x:row r="26" ht="14.25" hidden="0" customHeight="1">
      <x:c r="A26" s="4" t="s">
        <x:v>925</x:v>
      </x:c>
      <x:c r="B26" s="4" t="n">
        <x:f aca="0">CANON!B58</x:f>
        <x:v>0.2</x:v>
      </x:c>
    </x:row>
    <x:row r="27" ht="13.5" hidden="0" customHeight="1">
      <x:c r="A27" s="4" t="s">
        <x:v>926</x:v>
      </x:c>
      <x:c r="B27" s="4" t="str">
        <x:f aca="0">CANON!B137</x:f>
        <x:v>C</x:v>
      </x:c>
      <x:c r="C27" s="4" t="s">
        <x:v>927</x:v>
      </x:c>
    </x:row>
    <x:row r="28" ht="13.5" hidden="0" customHeight="1">
      <x:c r="A28" s="4" t="s">
        <x:v>928</x:v>
      </x:c>
      <x:c r="B28" s="4" t="n">
        <x:f aca="0">CANON!B26</x:f>
        <x:v>0.02</x:v>
      </x:c>
      <x:c r="C28" s="4" t="s">
        <x:v>929</x:v>
      </x:c>
    </x:row>
    <x:row r="29" ht="14.25" hidden="0" customHeight="1">
      <x:c r="A29" s="24" t="s">
        <x:v>930</x:v>
      </x:c>
    </x:row>
    <x:row r="30" ht="14.25" hidden="0" customHeight="1">
      <x:c r="A30" s="4" t="s">
        <x:v>931</x:v>
      </x:c>
      <x:c r="B30" s="4" t="s">
        <x:v>932</x:v>
      </x:c>
    </x:row>
    <x:row r="31" ht="14.25" hidden="0" customHeight="1">
      <x:c r="A31" s="4" t="s">
        <x:v>933</x:v>
      </x:c>
      <x:c r="B31" s="4" t="s">
        <x:v>934</x:v>
      </x:c>
    </x:row>
    <x:row r="32" ht="14.25" hidden="0" customHeight="1">
      <x:c r="A32" s="4" t="s">
        <x:v>935</x:v>
      </x:c>
      <x:c r="B32" s="81" t="n">
        <x:f aca="0">COUNTA(Rights_Coverage!$B$7:$B$76)</x:f>
        <x:v>70</x:v>
      </x:c>
    </x:row>
    <x:row r="33" ht="42" hidden="0" customHeight="1">
      <x:c r="A33" s="4" t="s">
        <x:v>936</x:v>
      </x:c>
      <x:c r="B33" s="4" t="s">
        <x:v>937</x:v>
      </x:c>
    </x:row>
    <x:row r="34" ht="13.5" hidden="0" customHeight="1">
      <x:c r="A34" s="4" t="s">
        <x:v>938</x:v>
      </x:c>
      <x:c r="B34" s="4" t="s">
        <x:v>939</x:v>
      </x:c>
      <x:c r="C34" s="4" t="s">
        <x:v>940</x:v>
      </x:c>
    </x:row>
    <x:row r="35" ht="13.5" hidden="0" customHeight="1">
      <x:c r="A35" s="4" t="s">
        <x:v>941</x:v>
      </x:c>
      <x:c r="B35" s="4" t="s">
        <x:v>942</x:v>
      </x:c>
      <x:c r="C35" s="4" t="s">
        <x:v>943</x:v>
      </x:c>
    </x:row>
    <x:row r="36" ht="14.25" hidden="0" customHeight="1">
      <x:c r="A36" s="4" t="s">
        <x:v>944</x:v>
      </x:c>
      <x:c r="B36" s="4" t="s">
        <x:v>945</x:v>
      </x:c>
      <x:c r="C36" s="4" t="s">
        <x:v>946</x:v>
      </x:c>
    </x:row>
    <x:row r="37" ht="14.25" hidden="0" customHeight="1">
      <x:c r="A37" s="4" t="s">
        <x:v>947</x:v>
      </x:c>
      <x:c r="B37" s="4" t="s">
        <x:v>948</x:v>
      </x:c>
      <x:c r="C37" s="4" t="s">
        <x:v>949</x:v>
      </x:c>
    </x:row>
    <x:row r="38" ht="14.25" hidden="0" customHeight="1">
      <x:c r="A38" s="24" t="s">
        <x:v>950</x:v>
      </x:c>
    </x:row>
    <x:row r="39" ht="14.25" hidden="0" customHeight="1">
      <x:c r="A39" s="4" t="s">
        <x:v>951</x:v>
      </x:c>
    </x:row>
    <x:row r="40" ht="14.25" hidden="0" customHeight="1">
      <x:c r="A40" s="4" t="s">
        <x:v>952</x:v>
      </x:c>
      <x:c r="B40" s="4" t="s">
        <x:v>654</x:v>
      </x:c>
    </x:row>
    <x:row r="41" ht="14.25" hidden="0" customHeight="1">
      <x:c r="A41" s="4" t="s">
        <x:v>953</x:v>
      </x:c>
      <x:c r="B41" s="4" t="s">
        <x:v>654</x:v>
      </x:c>
    </x:row>
    <x:row r="42" ht="14.25" hidden="0" customHeight="1">
      <x:c r="A42" s="4" t="s">
        <x:v>954</x:v>
      </x:c>
      <x:c r="B42" s="4" t="s">
        <x:v>955</x:v>
      </x:c>
    </x:row>
    <x:row r="43" ht="13.5" hidden="0" customHeight="1">
      <x:c r="A43" s="4" t="s">
        <x:v>956</x:v>
      </x:c>
      <x:c r="B43" s="4" t="s">
        <x:v>957</x:v>
      </x:c>
    </x:row>
    <x:row r="44" ht="14.25" hidden="0" customHeight="1">
      <x:c r="A44" s="4" t="s">
        <x:v>958</x:v>
      </x:c>
      <x:c r="B44" s="4" t="str">
        <x:f aca="0">IF(WTSL_Categories!$B$17&gt;=WTSL_Categories!$B$16,"YES","NO")</x:f>
        <x:v>YES</x:v>
      </x:c>
    </x:row>
    <x:row r="46" ht="14.25" hidden="0" customHeight="1">
      <x:c r="B46" s="4" t="s">
        <x:v>654</x:v>
      </x:c>
    </x:row>
    <x:row r="47" ht="14.25" hidden="0" customHeight="1">
      <x:c r="A47" s="24" t="s">
        <x:v>959</x:v>
      </x:c>
      <x:c r="B47" s="4" t="s">
        <x:v>654</x:v>
      </x:c>
    </x:row>
    <x:row r="48" ht="14.25" hidden="0" customHeight="1">
      <x:c r="A48" s="4" t="s">
        <x:v>960</x:v>
      </x:c>
      <x:c r="B48" s="81" t="s">
        <x:v>654</x:v>
      </x:c>
    </x:row>
    <x:row r="49" ht="14.25" hidden="0" customHeight="1">
      <x:c r="A49" s="4" t="s">
        <x:v>961</x:v>
      </x:c>
      <x:c r="B49" s="81" t="s">
        <x:v>654</x:v>
      </x:c>
    </x:row>
    <x:row r="50" ht="14.25" hidden="0" customHeight="1">
      <x:c r="A50" s="4" t="s">
        <x:v>962</x:v>
      </x:c>
      <x:c r="B50" s="64" t="s">
        <x:v>963</x:v>
      </x:c>
    </x:row>
    <x:row r="51" ht="14.25" hidden="0" customHeight="1">
      <x:c r="A51" s="4" t="s">
        <x:v>85</x:v>
      </x:c>
      <x:c r="B51" s="55" t="n">
        <x:v>0.0219</x:v>
      </x:c>
    </x:row>
    <x:row r="52" ht="14.25" hidden="0" customHeight="1">
      <x:c r="A52" s="4" t="s">
        <x:v>86</x:v>
      </x:c>
      <x:c r="B52" s="55" t="n">
        <x:v>0.0315</x:v>
      </x:c>
    </x:row>
    <x:row r="53" ht="14.25" hidden="0" customHeight="1">
      <x:c r="A53" s="4" t="s">
        <x:v>964</x:v>
      </x:c>
      <x:c r="B53" s="69" t="s">
        <x:v>965</x:v>
      </x:c>
    </x:row>
    <x:row r="54" ht="14.25" hidden="0" customHeight="1">
      <x:c r="A54" s="4" t="s">
        <x:v>966</x:v>
      </x:c>
      <x:c r="B54" s="64" t="s">
        <x:v>36</x:v>
      </x:c>
    </x:row>
    <x:row r="55" ht="14.25" hidden="0" customHeight="1">
      <x:c r="A55" s="4" t="s">
        <x:v>967</x:v>
      </x:c>
      <x:c r="B55" s="81" t="str">
        <x:f aca="0">CANON!B60</x:f>
        <x:v>PASS</x:v>
      </x:c>
      <x:c r="C55" s="4" t="s">
        <x:v>968</x:v>
      </x:c>
    </x:row>
    <x:row r="56" ht="14.25" hidden="0" customHeight="1">
      <x:c r="A56" s="4" t="s">
        <x:v>969</x:v>
      </x:c>
      <x:c r="B56" s="81" t="str">
        <x:f aca="0">CANON!B61</x:f>
        <x:v>PASS (vacuous)</x:v>
      </x:c>
      <x:c r="C56" s="4" t="s">
        <x:v>968</x:v>
      </x:c>
    </x:row>
    <x:row r="57" ht="14.25" hidden="0" customHeight="1">
      <x:c r="A57" s="4" t="s">
        <x:v>94</x:v>
      </x:c>
      <x:c r="B57" s="4">
        <x:f aca="0">CANON!B63</x:f>
        <x:v>0.01531294271682332</x:v>
      </x:c>
    </x:row>
    <x:row r="58" ht="13.5" hidden="0" customHeight="1">
      <x:c r="A58" s="4" t="s">
        <x:v>95</x:v>
      </x:c>
      <x:c r="B58" s="4">
        <x:f aca="0">CANON!B64</x:f>
        <x:v>-0.0011223873850524822</x:v>
      </x:c>
    </x:row>
    <x:row r="59" ht="14.25" hidden="0" customHeight="1">
      <x:c r="A59" s="4" t="s">
        <x:v>970</x:v>
      </x:c>
      <x:c r="B59" s="4" t="s">
        <x:v>36</x:v>
      </x:c>
    </x:row>
    <x:row r="61" ht="14.25" hidden="0" customHeight="1">
      <x:c r="A61" t="s">
        <x:v>971</x:v>
      </x:c>
      <x:c r="B61" s="1"/>
    </x:row>
    <x:row r="62" ht="14.25" hidden="0" customHeight="1">
      <x:c r="A62" s="24"/>
      <x:c r="B62" s="1"/>
    </x:row>
    <x:row r="63" ht="14.25" hidden="0" customHeight="1">
      <x:c r="A63" s="4" t="s">
        <x:v>972</x:v>
      </x:c>
      <x:c r="B63" s="4" t="str">
        <x:f aca="0">CANON!B70</x:f>
        <x:v>NORMAL</x:v>
      </x:c>
    </x:row>
    <x:row r="64" ht="14.25" hidden="0" customHeight="1">
      <x:c r="A64" s="4" t="s">
        <x:v>973</x:v>
      </x:c>
      <x:c r="B64" s="4" t="str">
        <x:f aca="0">CANON!B72</x:f>
        <x:v>Non-decisive RLS lead; judgment call documented</x:v>
      </x:c>
    </x:row>
    <x:row r="65" ht="14.25" hidden="0" customHeight="1">
      <x:c r="A65" s="4" t="s">
        <x:v>974</x:v>
      </x:c>
      <x:c r="B65" s="67" t="str">
        <x:f aca="0">IF(CANON!B71="","None",CANON!B71)</x:f>
        <x:v>A</x:v>
      </x:c>
    </x:row>
    <x:row r="66" ht="14.25" hidden="0" customHeight="1">
      <x:c r="A66" s="4" t="s">
        <x:v>975</x:v>
      </x:c>
      <x:c r="B66" s="4" t="str">
        <x:f aca="0">IF(Dashboard!$B$36="YES",TEXT(MIN(TRC!$H$15,TRC!$H$28)-Config!$B$12,"0.000")&amp;" above τ_TRC","0.000")</x:f>
        <x:v>0.000</x:v>
      </x:c>
    </x:row>
    <x:row r="67" ht="14.25" hidden="0" customHeight="1">
      <x:c r="A67" s="4" t="s">
        <x:v>976</x:v>
      </x:c>
      <x:c r="B67" s="4" t="s">
        <x:v>977</x:v>
      </x:c>
    </x:row>
    <x:row r="68" ht="14.25" hidden="0" customHeight="1">
      <x:c r="A68" s="4" t="s">
        <x:v>978</x:v>
      </x:c>
      <x:c r="B68" s="4" t="str">
        <x:f aca="0">CANON!B73</x:f>
        <x:v>NO</x:v>
      </x:c>
    </x:row>
    <x:row r="69" ht="14.25" hidden="0" customHeight="1">
      <x:c r="A69" s="4" t="s">
        <x:v>979</x:v>
      </x:c>
      <x:c r="B69" s="4" t="s">
        <x:v>524</x:v>
      </x:c>
    </x:row>
    <x:row r="70" ht="14.25" hidden="0" customHeight="1">
      <x:c r="A70" s="4" t="s">
        <x:v>980</x:v>
      </x:c>
      <x:c r="B70" s="4" t="s">
        <x:v>965</x:v>
      </x:c>
    </x:row>
    <x:row r="71" ht="14.25" hidden="0" customHeight="1">
      <x:c r="A71" s="4" t="s">
        <x:v>981</x:v>
      </x:c>
      <x:c r="B71" s="4" t="s">
        <x:v>965</x:v>
      </x:c>
    </x:row>
    <x:row r="72" ht="14.25" hidden="0" customHeight="1">
      <x:c r="B72" s="4" t="s">
        <x:v>76</x:v>
      </x:c>
    </x:row>
    <x:row r="73" ht="14.25" hidden="0" customHeight="1">
      <x:c r="A73" s="3" t="s">
        <x:v>982</x:v>
      </x:c>
    </x:row>
    <x:row r="74" ht="14.25" hidden="0" customHeight="1">
      <x:c r="A74" s="24" t="s">
        <x:v>983</x:v>
      </x:c>
      <x:c r="B74" s="4" t="n">
        <x:f aca="0">Audit_Flags!B21</x:f>
        <x:v>0</x:v>
      </x:c>
    </x:row>
    <x:row r="75" ht="14.25" hidden="0" customHeight="1">
      <x:c r="A75" s="4" t="s">
        <x:v>984</x:v>
      </x:c>
      <x:c r="B75" s="4" t="n">
        <x:f aca="0">Audit_Flags!B22</x:f>
        <x:v>0</x:v>
      </x:c>
    </x:row>
    <x:row r="76" ht="14.25" hidden="0" customHeight="1">
      <x:c r="A76" s="64" t="s">
        <x:v>985</x:v>
      </x:c>
      <x:c r="B76" s="4" t="n">
        <x:f aca="0">Audit_Flags!B23</x:f>
        <x:v>1</x:v>
      </x:c>
      <x:c r="C76" s="4" t="s">
        <x:v>986</x:v>
      </x:c>
    </x:row>
    <x:row r="77" ht="13.5" hidden="0" customHeight="1">
      <x:c r="A77" s="4" t="s">
        <x:v>987</x:v>
      </x:c>
      <x:c r="B77" s="4" t="s">
        <x:v>988</x:v>
      </x:c>
    </x:row>
    <x:row r="78" ht="14.25" hidden="0" customHeight="1">
      <x:c r="B78" s="4" t="s">
        <x:v>989</x:v>
      </x:c>
    </x:row>
    <x:row r="80" ht="14.25" hidden="0" customHeight="1">
      <x:c r="A80" s="3" t="s">
        <x:v>990</x:v>
      </x:c>
    </x:row>
    <x:row r="81" ht="14.25" hidden="0" customHeight="1">
      <x:c r="A81" s="24" t="s">
        <x:v>991</x:v>
      </x:c>
      <x:c r="B81" s="4" t="s">
        <x:v>992</x:v>
      </x:c>
    </x:row>
    <x:row r="82" ht="14.25" hidden="0" customHeight="1">
      <x:c r="A82" s="4" t="s">
        <x:v>993</x:v>
      </x:c>
      <x:c r="B82" s="4" t="s">
        <x:v>994</x:v>
      </x:c>
    </x:row>
    <x:row r="83" ht="14.25" hidden="0" customHeight="1">
      <x:c r="A83" s="4" t="s">
        <x:v>995</x:v>
      </x:c>
      <x:c r="B83" s="4" t="s">
        <x:v>996</x:v>
      </x:c>
    </x:row>
    <x:row r="84" ht="14.25" hidden="0" customHeight="1">
      <x:c r="A84" s="4" t="s">
        <x:v>997</x:v>
      </x:c>
      <x:c r="B84" s="4" t="s">
        <x:v>998</x:v>
      </x:c>
    </x:row>
    <x:row r="85" ht="13.5" hidden="0" customHeight="1">
      <x:c r="A85" s="4" t="s">
        <x:v>999</x:v>
      </x:c>
      <x:c r="B85" s="4" t="s">
        <x:v>1000</x:v>
      </x:c>
    </x:row>
    <x:row r="86" ht="13.5" hidden="0" customHeight="1">
      <x:c r="A86" s="4" t="s">
        <x:v>1001</x:v>
      </x:c>
      <x:c r="B86" s="4" t="s">
        <x:v>1002</x:v>
      </x:c>
    </x:row>
    <x:row r="89" ht="14.25" hidden="0" customHeight="1">
      <x:c r="A89" s="24" t="s">
        <x:v>1003</x:v>
      </x:c>
    </x:row>
    <x:row r="90" ht="14.25" hidden="0" customHeight="1">
      <x:c r="A90" s="4" t="str">
        <x:f aca="0">IF(Dashboard!$B$36="YES","Objective: Reduce selected option CVaR ("&amp;TEXT(MIN(TRC!$H$15,TRC!$H$28),"0.000")&amp;") to ≤ τ_TRC ("&amp;TEXT(Config!$B$12,"0.00")&amp;") via mitigation within a defined timeline.","Objective: Maintain CVaR ≤ τ_TRC ("&amp;TEXT(Config!$B$12,"0.00")&amp;") and monitor tail-risk assumptions.")</x:f>
        <x:v>Objective: Maintain CVaR ≤ τ_TRC (0.20) and monitor tail-risk assumptions.</x:v>
      </x:c>
    </x:row>
    <x:row r="91" ht="14.25" hidden="0" customHeight="1">
      <x:c r="A91" s="4" t="s">
        <x:v>1004</x:v>
      </x:c>
      <x:c r="B91" s="4" t="s">
        <x:v>1005</x:v>
      </x:c>
      <x:c r="C91" s="4" t="s">
        <x:v>1006</x:v>
      </x:c>
    </x:row>
    <x:row r="92" ht="14.25" hidden="0" customHeight="1">
      <x:c r="A92" s="4" t="s">
        <x:v>1007</x:v>
      </x:c>
      <x:c r="B92" s="4" t="s">
        <x:v>1008</x:v>
      </x:c>
      <x:c r="C92" s="4" t="s">
        <x:v>1006</x:v>
      </x:c>
    </x:row>
    <x:row r="93" ht="14.25" hidden="0" customHeight="1">
      <x:c r="A93" s="4" t="s">
        <x:v>1009</x:v>
      </x:c>
      <x:c r="B93" s="4" t="s">
        <x:v>1010</x:v>
      </x:c>
      <x:c r="C93" s="4" t="s">
        <x:v>1006</x:v>
      </x:c>
    </x:row>
    <x:row r="94" ht="14.25" hidden="0" customHeight="1">
      <x:c r="A94" s="4" t="s">
        <x:v>1011</x:v>
      </x:c>
      <x:c r="B94" s="4" t="s">
        <x:v>1012</x:v>
      </x:c>
      <x:c r="C94" s="4" t="s">
        <x:v>1006</x:v>
      </x:c>
    </x:row>
    <x:row r="95" ht="14.25" hidden="0" customHeight="1">
      <x:c r="A95" s="4" t="s">
        <x:v>1013</x:v>
      </x:c>
      <x:c r="B95" s="4" t="s">
        <x:v>1014</x:v>
      </x:c>
      <x:c r="C95" s="4" t="s">
        <x:v>1006</x:v>
      </x:c>
    </x:row>
    <x:row r="96" ht="13.5" hidden="0" customHeight="1">
      <x:c r="A96" s="4" t="s">
        <x:v>1015</x:v>
      </x:c>
      <x:c r="B96" s="4" t="s">
        <x:v>1016</x:v>
      </x:c>
      <x:c r="C96" s="4" t="str">
        <x:f aca="0">IF(Dashboard!$B$36="YES","Mitigation required (CVaR above τ_TRC).","Headroom = "&amp;TEXT(CANON!$B$106-IF(CANON!$B$71="A",CANON!$B$104,IF(CANON!$B$71="B",CANON!$B$105,"")),"0.000")&amp;" (τ_TRC - CVaR_selected). Monitor assumptions + rerun TRC on change.")</x:f>
        <x:v>Headroom = 0.178 (τ_TRC - CVaR_selected). Monitor assumptions + rerun TRC on change.</x:v>
      </x:c>
      <x:c r="D96" s="4" t="n">
        <x:f aca="0">CANON!B106-IF(CANON!B71="A",CANON!B104,CANON!B105)</x:f>
        <x:v>0.1781</x:v>
      </x:c>
    </x:row>
    <x:row r="97" ht="14.25" hidden="0" customHeight="1">
      <x:c r="A97" s="4" t="s">
        <x:v>1017</x:v>
      </x:c>
      <x:c r="B97" s="4" t="n">
        <x:f aca="0">Audit_Flags!$F$2</x:f>
        <x:v>0</x:v>
      </x:c>
    </x:row>
    <x:row r="99" ht="14.25" hidden="0" customHeight="1">
      <x:c r="A99" s="24" t="s">
        <x:v>1018</x:v>
      </x:c>
    </x:row>
    <x:row r="100" ht="14.25" hidden="0" customHeight="1">
      <x:c r="A100" s="4" t="s">
        <x:v>1019</x:v>
      </x:c>
    </x:row>
    <x:row r="101" ht="14.25" hidden="0" customHeight="1">
      <x:c r="A101" s="4" t="s">
        <x:v>1020</x:v>
      </x:c>
      <x:c r="B101" s="4" t="s">
        <x:v>1021</x:v>
      </x:c>
    </x:row>
    <x:row r="102" ht="14.25" hidden="0" customHeight="1">
      <x:c r="A102" s="4" t="s">
        <x:v>1022</x:v>
      </x:c>
    </x:row>
    <x:row r="103" ht="13.5" hidden="0" customHeight="1">
      <x:c r="A103" s="4" t="s">
        <x:v>1023</x:v>
      </x:c>
    </x:row>
    <x:row r="104" ht="13.5" hidden="0" customHeight="1">
      <x:c r="A104" s="4" t="s">
        <x:v>1024</x:v>
      </x:c>
      <x:c r="B104" s="23" t="str">
        <x:f aca="0">TEXT(DATE(2026,2,2)+90,"YYYY-MM-DD")</x:f>
        <x:v>2026-05-03</x:v>
      </x:c>
    </x:row>
    <x:row r="105" ht="13.5" hidden="0" customHeight="1"/>
    <x:row r="106" ht="13.5" hidden="0" customHeight="1">
      <x:c r="A106" s="4" t="s">
        <x:v>1025</x:v>
      </x:c>
    </x:row>
    <x:row r="107" ht="13.5" hidden="0" customHeight="1">
      <x:c r="A107" s="4" t="s">
        <x:v>1026</x:v>
      </x:c>
      <x:c r="B107" s="4" t="s">
        <x:v>1027</x:v>
      </x:c>
    </x:row>
    <x:row r="108" ht="14.25" hidden="0" customHeight="1">
      <x:c r="A108" s="4" t="s">
        <x:v>1028</x:v>
      </x:c>
      <x:c r="B108" s="4" t="s">
        <x:v>1029</x:v>
      </x:c>
      <x:c r="C108" s="4" t="s">
        <x:v>1030</x:v>
      </x:c>
    </x:row>
    <x:row r="109" ht="15" hidden="0" customHeight="1">
      <x:c r="A109" s="4" t="s">
        <x:v>1031</x:v>
      </x:c>
      <x:c r="B109" s="4" t="s">
        <x:v>1032</x:v>
      </x:c>
    </x:row>
    <x:row r="110" ht="13.5" hidden="0" customHeight="1"/>
    <x:row r="111" ht="13.5" hidden="0" customHeight="1">
      <x:c r="A111" s="82" t="s">
        <x:v>1033</x:v>
      </x:c>
    </x:row>
    <x:row r="112" ht="13.5" hidden="0" customHeight="1">
      <x:c r="A112" s="77" t="s">
        <x:v>1034</x:v>
      </x:c>
      <x:c r="B112" s="77" t="str">
        <x:f aca="0">CANON!B133</x:f>
        <x:v>FULL</x:v>
      </x:c>
      <x:c r="C112" s="83" t="s">
        <x:v>1035</x:v>
      </x:c>
    </x:row>
    <x:row r="113" ht="13.5" hidden="0" customHeight="1">
      <x:c r="A113" s="77" t="s">
        <x:v>1036</x:v>
      </x:c>
      <x:c r="B113" s="77" t="str">
        <x:f aca="0">CANON!B134</x:f>
        <x:v>U1,U2,U3,U4,U5,U6,U7</x:v>
      </x:c>
      <x:c r="C113" s="15"/>
    </x:row>
    <x:row r="114" ht="13.5" hidden="0" customHeight="1">
      <x:c r="A114" s="77" t="s">
        <x:v>1037</x:v>
      </x:c>
      <x:c r="B114" s="77" t="str">
        <x:f aca="0">CANON!B135</x:f>
        <x:v>NONE</x:v>
      </x:c>
      <x:c r="C114" s="15"/>
    </x:row>
    <x:row r="115" ht="13.5" hidden="0" customHeight="1">
      <x:c r="A115" s="77" t="s">
        <x:v>1038</x:v>
      </x:c>
      <x:c r="B115" s="84" t="s">
        <x:v>1039</x:v>
      </x:c>
      <x:c r="C115" s="15"/>
    </x:row>
    <x:row r="116" ht="14.25" hidden="0" customHeight="1">
      <x:c r="A116" s="77" t="s">
        <x:v>1040</x:v>
      </x:c>
      <x:c r="B116" s="84" t="s">
        <x:v>1041</x:v>
      </x:c>
      <x:c r="C116" s="15"/>
    </x:row>
    <x:row r="117" ht="13.5" hidden="0" customHeight="1">
      <x:c r="A117" s="77" t="s">
        <x:v>1042</x:v>
      </x:c>
      <x:c r="B117" s="84" t="s">
        <x:v>1043</x:v>
      </x:c>
      <x:c r="C117" s="15"/>
    </x:row>
    <x:row r="118" ht="13.5" hidden="0" customHeight="1"/>
    <x:row r="119" ht="14.25" hidden="0" customHeight="1">
      <x:c r="A119" s="85" t="s">
        <x:v>1044</x:v>
      </x:c>
    </x:row>
    <x:row r="120" ht="15" hidden="0" customHeight="1">
      <x:c r="A120" s="83" t="s">
        <x:v>1045</x:v>
      </x:c>
    </x:row>
    <x:row r="121" ht="13.5" hidden="0" customHeight="1"/>
    <x:row r="122" ht="13.5" hidden="0" customHeight="1">
      <x:c r="A122" s="82" t="s">
        <x:v>1046</x:v>
      </x:c>
    </x:row>
    <x:row r="123" ht="14.25" hidden="0" customHeight="1">
      <x:c r="A123" s="83" t="s">
        <x:v>1047</x:v>
      </x:c>
      <x:c r="B123" s="4" t="s">
        <x:v>1047</x:v>
      </x:c>
    </x:row>
    <x:row r="124" ht="13.5" hidden="0" customHeight="1">
      <x:c r="A124" s="83" t="s">
        <x:v>1048</x:v>
      </x:c>
    </x:row>
    <x:row r="125" ht="13.5" hidden="0" customHeight="1"/>
    <x:row r="126" ht="13.5" hidden="0" customHeight="1">
      <x:c r="A126" s="86" t="s">
        <x:v>1049</x:v>
      </x:c>
      <x:c r="B126" s="86" t="s">
        <x:v>1050</x:v>
      </x:c>
      <x:c r="C126" s="86" t="s">
        <x:v>1051</x:v>
      </x:c>
      <x:c r="D126" s="86" t="s">
        <x:v>1052</x:v>
      </x:c>
      <x:c r="E126" s="86" t="s">
        <x:v>1053</x:v>
      </x:c>
      <x:c r="F126" s="86" t="s">
        <x:v>1054</x:v>
      </x:c>
      <x:c r="G126" s="86" t="s">
        <x:v>1055</x:v>
      </x:c>
      <x:c r="H126" s="86" t="s">
        <x:v>1056</x:v>
      </x:c>
    </x:row>
    <x:row r="127" ht="13.5" hidden="0" customHeight="1">
      <x:c r="A127" s="84" t="s">
        <x:v>1057</x:v>
      </x:c>
      <x:c r="B127" s="84" t="s">
        <x:v>1058</x:v>
      </x:c>
      <x:c r="C127" s="84" t="s">
        <x:v>1059</x:v>
      </x:c>
      <x:c r="D127" s="84" t="s">
        <x:v>1060</x:v>
      </x:c>
      <x:c r="E127" s="84" t="s">
        <x:v>1061</x:v>
      </x:c>
      <x:c r="F127" s="84" t="s">
        <x:v>1062</x:v>
      </x:c>
      <x:c r="G127" s="84" t="s">
        <x:v>1063</x:v>
      </x:c>
      <x:c r="H127" s="84" t="s">
        <x:v>1064</x:v>
      </x:c>
    </x:row>
    <x:row r="128" ht="13.5" hidden="0" customHeight="1">
      <x:c r="A128" s="84" t="s">
        <x:v>1065</x:v>
      </x:c>
      <x:c r="B128" s="84" t="s">
        <x:v>1066</x:v>
      </x:c>
      <x:c r="C128" s="84" t="s">
        <x:v>1067</x:v>
      </x:c>
      <x:c r="D128" s="84" t="s">
        <x:v>1068</x:v>
      </x:c>
      <x:c r="E128" s="84" t="s">
        <x:v>429</x:v>
      </x:c>
      <x:c r="F128" s="84" t="s">
        <x:v>1069</x:v>
      </x:c>
      <x:c r="G128" s="84" t="s">
        <x:v>1070</x:v>
      </x:c>
      <x:c r="H128" s="84" t="s">
        <x:v>1064</x:v>
      </x:c>
    </x:row>
    <x:row r="129" ht="13.5" hidden="0" customHeight="1">
      <x:c r="A129" s="84" t="s">
        <x:v>1071</x:v>
      </x:c>
      <x:c r="B129" s="84" t="s">
        <x:v>1072</x:v>
      </x:c>
      <x:c r="C129" s="84" t="s">
        <x:v>1073</x:v>
      </x:c>
      <x:c r="D129" s="84" t="s">
        <x:v>1074</x:v>
      </x:c>
      <x:c r="E129" s="84" t="s">
        <x:v>430</x:v>
      </x:c>
      <x:c r="F129" s="84" t="s">
        <x:v>1075</x:v>
      </x:c>
      <x:c r="G129" s="84" t="s">
        <x:v>1076</x:v>
      </x:c>
      <x:c r="H129" s="84" t="s">
        <x:v>1064</x:v>
      </x:c>
    </x:row>
    <x:row r="130" ht="14.25" hidden="0" customHeight="1">
      <x:c r="A130" s="84" t="s">
        <x:v>1077</x:v>
      </x:c>
      <x:c r="B130" s="84" t="s">
        <x:v>1078</x:v>
      </x:c>
      <x:c r="C130" s="84" t="s">
        <x:v>1079</x:v>
      </x:c>
      <x:c r="D130" s="84" t="s">
        <x:v>1080</x:v>
      </x:c>
      <x:c r="E130" s="84" t="s">
        <x:v>431</x:v>
      </x:c>
      <x:c r="F130" s="84" t="s">
        <x:v>1081</x:v>
      </x:c>
      <x:c r="G130" s="84" t="s">
        <x:v>1082</x:v>
      </x:c>
      <x:c r="H130" s="84" t="s">
        <x:v>1064</x:v>
      </x:c>
    </x:row>
    <x:row r="131" ht="13.5" hidden="0" customHeight="1">
      <x:c r="A131" s="84" t="s">
        <x:v>1083</x:v>
      </x:c>
      <x:c r="B131" s="84" t="s">
        <x:v>1084</x:v>
      </x:c>
      <x:c r="C131" s="84" t="s">
        <x:v>1073</x:v>
      </x:c>
      <x:c r="D131" s="84" t="s">
        <x:v>1085</x:v>
      </x:c>
      <x:c r="E131" s="84" t="s">
        <x:v>1086</x:v>
      </x:c>
      <x:c r="F131" s="84" t="s">
        <x:v>1087</x:v>
      </x:c>
      <x:c r="G131" s="84" t="s">
        <x:v>1088</x:v>
      </x:c>
      <x:c r="H131" s="84" t="s">
        <x:v>1089</x:v>
      </x:c>
    </x:row>
    <x:row r="132" ht="13.5" hidden="0" customHeight="1"/>
    <x:row r="133" ht="14.25" hidden="0" customHeight="1">
      <x:c r="A133" s="87" t="s">
        <x:v>1090</x:v>
      </x:c>
    </x:row>
    <x:row r="134" ht="15" hidden="0" customHeight="1">
      <x:c r="A134" s="83" t="s">
        <x:v>1091</x:v>
      </x:c>
    </x:row>
    <x:row r="135" ht="13.5" hidden="0" customHeight="1"/>
    <x:row r="136" ht="13.5" hidden="0" customHeight="1">
      <x:c r="A136" s="82" t="s">
        <x:v>1092</x:v>
      </x:c>
    </x:row>
    <x:row r="137" ht="13.5" hidden="0" customHeight="1">
      <x:c r="A137" s="83" t="s">
        <x:v>1093</x:v>
      </x:c>
      <x:c r="B137" s="4" t="s">
        <x:v>1093</x:v>
      </x:c>
    </x:row>
    <x:row r="138" ht="13.5" hidden="0" customHeight="1">
      <x:c r="A138" s="77" t="s">
        <x:v>1094</x:v>
      </x:c>
      <x:c r="B138" s="77" t="n">
        <x:f aca="0">CANON!B130</x:f>
        <x:v>1</x:v>
      </x:c>
      <x:c r="C138" s="83" t="s">
        <x:v>1095</x:v>
      </x:c>
    </x:row>
    <x:row r="139" ht="13.5" hidden="0" customHeight="1">
      <x:c r="A139" s="77" t="s">
        <x:v>1096</x:v>
      </x:c>
      <x:c r="B139" s="77" t="str">
        <x:f aca="0">CANON!B131</x:f>
        <x:v>Key stakeholders identified; roles mapped to scopes; coverage documented</x:v>
      </x:c>
      <x:c r="C139" s="15"/>
    </x:row>
    <x:row r="140" ht="13.5" hidden="0" customHeight="1">
      <x:c r="A140" s="77" t="s">
        <x:v>1097</x:v>
      </x:c>
      <x:c r="B140" s="77" t="str">
        <x:f aca="0">CANON!B132</x:f>
        <x:v>Expand to SCI-2: structured discovery protocol with evidence refs</x:v>
      </x:c>
      <x:c r="C140" s="83" t="s">
        <x:v>1098</x:v>
      </x:c>
    </x:row>
    <x:row r="141" ht="14.25" hidden="0" customHeight="1">
      <x:c r="A141" s="77" t="s">
        <x:v>1099</x:v>
      </x:c>
      <x:c r="B141" s="77" t="str">
        <x:f aca="0">IF(CANON!$B$10=2,"SCI-1",IF(CANON!$B$10=3,"SCI-2","N/A"))</x:f>
        <x:v>SCI-1</x:v>
      </x:c>
      <x:c r="C141" s="15"/>
    </x:row>
    <x:row r="142" ht="15" hidden="0" customHeight="1">
      <x:c r="A142" s="77" t="s">
        <x:v>1100</x:v>
      </x:c>
      <x:c r="B142" s="77" t="str">
        <x:f aca="0">IF(CANON!B130&gt;=IF(CANON!$B$10=2,1,IF(CANON!$B$10=3,2,0)),"YES","NO")</x:f>
        <x:v>YES</x:v>
      </x:c>
      <x:c r="C142" s="15"/>
    </x:row>
    <x:row r="143" ht="13.5" hidden="0" customHeight="1"/>
    <x:row r="144" ht="13.5" hidden="0" customHeight="1">
      <x:c r="A144" s="82" t="s">
        <x:v>1101</x:v>
      </x:c>
    </x:row>
    <x:row r="145" ht="13.5" hidden="0" customHeight="1">
      <x:c r="A145" s="77" t="s">
        <x:v>1102</x:v>
      </x:c>
    </x:row>
    <x:row r="146" ht="13.5" hidden="0" customHeight="1">
      <x:c r="A146" s="77" t="s">
        <x:v>1103</x:v>
      </x:c>
    </x:row>
    <x:row r="147" ht="13.5" hidden="0" customHeight="1">
      <x:c r="A147" s="77" t="s">
        <x:v>1104</x:v>
      </x:c>
    </x:row>
    <x:row r="148" ht="14.25" hidden="0" customHeight="1">
      <x:c r="A148" s="77" t="s">
        <x:v>1105</x:v>
      </x:c>
    </x:row>
    <x:row r="149" ht="14.25" hidden="0" customHeight="1">
      <x:c r="A149" s="88" t="s">
        <x:v>1106</x:v>
      </x:c>
    </x:row>
    <x:row r="151" ht="15" hidden="0">
      <x:c r="A151" s="89" t="s">
        <x:v>1107</x:v>
      </x:c>
      <x:c r="B151" s="89"/>
    </x:row>
    <x:row r="152" ht="31.5" hidden="0" customHeight="1">
      <x:c r="A152" s="90" t="s">
        <x:v>1108</x:v>
      </x:c>
      <x:c r="B152" s="90" t="s">
        <x:v>1109</x:v>
      </x:c>
    </x:row>
    <x:row r="153" ht="31.5" hidden="0" customHeight="1">
      <x:c r="A153" s="90" t="s">
        <x:v>1110</x:v>
      </x:c>
      <x:c r="B153" s="90" t="s">
        <x:v>1111</x:v>
      </x:c>
    </x:row>
    <x:row r="154" ht="31.5" hidden="0" customHeight="1">
      <x:c r="A154" s="90" t="s">
        <x:v>1112</x:v>
      </x:c>
      <x:c r="B154" s="90" t="str">
        <x:f aca="0">PLSS_Local_Scope!B27</x:f>
        <x:v>Decision owner, household, community, organization, polity, and biosphere pathways declared through the worked-run stakeholder set for this remote-work policy exemplar.</x:v>
      </x:c>
    </x:row>
    <x:row r="155" ht="31.5" hidden="0" customHeight="1">
      <x:c r="A155" s="90" t="s">
        <x:v>1113</x:v>
      </x:c>
      <x:c r="B155" s="90" t="str">
        <x:f aca="0">PLSS_Local_Scope!B28</x:f>
        <x:v>Default PLSS residual-allocation operator: direct q_u normalization with constitutional floor-preserving residual mass.</x:v>
      </x:c>
    </x:row>
    <x:row r="156" ht="31.5" hidden="0" customHeight="1">
      <x:c r="A156" s="90" t="s">
        <x:v>1114</x:v>
      </x:c>
      <x:c r="B156" s="90" t="str">
        <x:f aca="0">PLSS_Local_Scope!B29</x:f>
        <x:v>Declared scope posture is surfaced through the Prominent/Guardrail classifications in F12:F18.</x:v>
      </x:c>
    </x:row>
    <x:row r="157" ht="45.75" hidden="0" customHeight="1">
      <x:c r="A157" s="90" t="s">
        <x:v>1115</x:v>
      </x:c>
      <x:c r="B157" s="90" t="str">
        <x:f aca="0">PLSS_Local_Scope!B30</x:f>
        <x:v>No active ET trigger requiring a broader-scope rerun was identified in this worked-run exemplar; revisit if hidden externalities, rights expansion, catastrophe relevance, or lock-in becomes plausible.</x:v>
      </x:c>
    </x:row>
    <x:row r="158" ht="31.5" hidden="0" customHeight="1">
      <x:c r="A158" s="90" t="s">
        <x:v>1116</x:v>
      </x:c>
      <x:c r="B158" s="90" t="str">
        <x:f aca="0">PLSS_Local_Scope!B31</x:f>
        <x:v>If SUM(q_u)=0, the workbook uses the uniform residual fallback (1/7 per scope) exactly as encoded in D12:D18.</x:v>
      </x:c>
    </x:row>
    <x:row r="159" ht="45.75" hidden="0" customHeight="1">
      <x:c r="A159" s="90" t="s">
        <x:v>1117</x:v>
      </x:c>
      <x:c r="B159" s="90" t="s">
        <x:v>1118</x:v>
      </x:c>
    </x:row>
    <x:row r="161" ht="24" hidden="0" customHeight="1">
      <x:c r="A161" s="91" t="s">
        <x:v>1119</x:v>
      </x:c>
    </x:row>
    <x:row r="162" ht="21.75" hidden="0" customHeight="1">
      <x:c r="A162" s="90" t="s">
        <x:v>1120</x:v>
      </x:c>
      <x:c r="B162" s="90" t="s">
        <x:v>1121</x:v>
      </x:c>
      <x:c r="C162" t="s">
        <x:v>1122</x:v>
      </x:c>
    </x:row>
    <x:row r="163" ht="21.75" hidden="0" customHeight="1">
      <x:c r="A163" s="90" t="s">
        <x:v>1123</x:v>
      </x:c>
      <x:c r="B163" s="90" t="s">
        <x:v>1124</x:v>
      </x:c>
    </x:row>
    <x:row r="164" ht="21.75" hidden="0" customHeight="1">
      <x:c r="A164" s="90" t="s">
        <x:v>1125</x:v>
      </x:c>
      <x:c r="B164" s="90" t="s">
        <x:v>1126</x:v>
      </x:c>
      <x:c r="C164" t="s">
        <x:v>1127</x:v>
      </x:c>
    </x:row>
    <x:row r="165" ht="21.75" hidden="0" customHeight="1">
      <x:c r="A165" s="90" t="s">
        <x:v>1128</x:v>
      </x:c>
      <x:c r="B165" s="90" t="str">
        <x:f aca="0">IF(Config!B17="PLSS_LOCAL","PLSS_NEAR_FIELD_DECLARATION","NA")</x:f>
        <x:v>PLSS_NEAR_FIELD_DECLARATION</x:v>
      </x:c>
      <x:c r="C165" t="s">
        <x:v>1129</x:v>
      </x:c>
    </x:row>
    <x:row r="166" ht="21.75" hidden="0" customHeight="1">
      <x:c r="A166" s="90" t="s">
        <x:v>1130</x:v>
      </x:c>
      <x:c r="B166" s="90" t="s">
        <x:v>1131</x:v>
      </x:c>
      <x:c r="C166" t="s">
        <x:v>1132</x:v>
      </x:c>
    </x:row>
    <x:row r="167" ht="21.75" hidden="0" customHeight="1">
      <x:c r="A167" s="90" t="s">
        <x:v>1133</x:v>
      </x:c>
      <x:c r="B167" s="90" t="s">
        <x:v>1134</x:v>
      </x:c>
      <x:c r="C167" t="s">
        <x:v>1135</x:v>
      </x:c>
    </x:row>
    <x:row r="168" ht="21.75" hidden="0" customHeight="1">
      <x:c r="A168" s="90" t="s">
        <x:v>1136</x:v>
      </x:c>
      <x:c r="B168" s="90" t="str">
        <x:f aca="0">IF(COUNTIFS(Impact_Input!A7:A200,"&lt;&gt;",Impact_Input!K7:K200,"&lt;&gt;1")=0,"All logged instances use e_k = 1.00","Non-default e_k present; disclose reason code + sensitivity")</x:f>
        <x:v>All logged instances use e_k = 1.00</x:v>
      </x:c>
    </x:row>
    <x:row r="169" ht="21.75" hidden="0" customHeight="1">
      <x:c r="A169" s="90" t="s">
        <x:v>1137</x:v>
      </x:c>
      <x:c r="B169" s="90" t="s">
        <x:v>1138</x:v>
      </x:c>
    </x:row>
  </x:sheetData>
  <x:mergeCells>
    <x:mergeCell ref="A1:J1"/>
    <x:mergeCell ref="A151:B151"/>
  </x:mergeCells>
  <x:pageMargins left="0.7" right="0.7" top="0.75" bottom="0.75" header="0.3" footer="0.3"/>
</x:worksheet>
</file>

<file path=xl/worksheets/sheet22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4.25"/>
  <x:cols>
    <x:col min="1" max="1" width="12" style="1" hidden="0" customWidth="1"/>
    <x:col min="2" max="2" width="36" style="1" hidden="0" customWidth="1"/>
    <x:col min="3" max="3" width="18" style="1" hidden="0" customWidth="1"/>
    <x:col min="4" max="4" width="14" style="1" hidden="0" customWidth="1"/>
    <x:col min="5" max="5" width="16" style="1" hidden="0" customWidth="1"/>
    <x:col min="6" max="6" width="40" style="1" hidden="0" customWidth="1"/>
    <x:col min="9" max="19" width="12" style="1" hidden="0" customWidth="1"/>
  </x:cols>
  <x:sheetData>
    <x:row r="1" ht="14.25" hidden="0" customHeight="1">
      <x:c r="A1" s="92" t="s">
        <x:v>1139</x:v>
      </x:c>
    </x:row>
    <x:row r="2" ht="13.5" hidden="0" customHeight="1"/>
    <x:row r="3" ht="14.25" hidden="0" customHeight="1">
      <x:c r="A3" s="1" t="s">
        <x:v>1140</x:v>
      </x:c>
      <x:c r="B3" s="56" t="s">
        <x:v>1141</x:v>
      </x:c>
    </x:row>
    <x:row r="4" ht="14.25" hidden="0" customHeight="1">
      <x:c r="A4" s="1" t="s">
        <x:v>1142</x:v>
      </x:c>
      <x:c r="B4" s="1" t="s">
        <x:v>1143</x:v>
      </x:c>
    </x:row>
    <x:row r="5" ht="14.25" hidden="0" customHeight="1">
      <x:c r="A5" s="9" t="s">
        <x:v>1144</x:v>
      </x:c>
      <x:c r="B5" s="1" t="str">
        <x:f aca="0">"SENSITIVITY_NOT_RUN = "&amp;IF(B3="NOT PERFORMED","YES","NO")&amp;" (REVIEW severity)"</x:f>
        <x:v>SENSITIVITY_NOT_RUN = NO (REVIEW severity)</x:v>
      </x:c>
    </x:row>
    <x:row r="6" ht="13.800000190734863" hidden="0"/>
    <x:row r="7" ht="14.25" hidden="0" customHeight="1">
      <x:c r="A7" s="12" t="s">
        <x:v>1145</x:v>
      </x:c>
    </x:row>
    <x:row r="8" ht="14.25" hidden="0" customHeight="1">
      <x:c r="A8" s="12" t="s">
        <x:v>1146</x:v>
      </x:c>
      <x:c r="B8" s="12" t="s">
        <x:v>1147</x:v>
      </x:c>
      <x:c r="C8" s="12" t="s">
        <x:v>1148</x:v>
      </x:c>
      <x:c r="D8" s="12" t="s">
        <x:v>1149</x:v>
      </x:c>
      <x:c r="E8" s="12" t="s">
        <x:v>1150</x:v>
      </x:c>
      <x:c r="F8" s="12" t="s">
        <x:v>1151</x:v>
      </x:c>
    </x:row>
    <x:row r="9" ht="14.25" hidden="0" customHeight="1">
      <x:c r="A9" s="1" t="s">
        <x:v>1152</x:v>
      </x:c>
      <x:c r="B9" s="1" t="s">
        <x:v>1153</x:v>
      </x:c>
      <x:c r="C9" s="1" t="s">
        <x:v>686</x:v>
      </x:c>
      <x:c r="D9" s="1" t="str">
        <x:f aca="0">D34</x:f>
        <x:v>A</x:v>
      </x:c>
      <x:c r="E9" s="1" t="str">
        <x:f aca="0">IF(D9=$D$14,"YES","NO")</x:f>
        <x:v>YES</x:v>
      </x:c>
      <x:c r="F9" s="1" t="s">
        <x:v>1154</x:v>
      </x:c>
    </x:row>
    <x:row r="10" ht="14.25" hidden="0" customHeight="1">
      <x:c r="A10" s="1" t="s">
        <x:v>1155</x:v>
      </x:c>
      <x:c r="B10" s="1" t="s">
        <x:v>1156</x:v>
      </x:c>
      <x:c r="C10" s="1" t="s">
        <x:v>686</x:v>
      </x:c>
      <x:c r="D10" s="1" t="str">
        <x:f aca="0">D35</x:f>
        <x:v>A</x:v>
      </x:c>
      <x:c r="E10" s="1" t="str">
        <x:f aca="0">IF(D10=$D$14,"YES","NO")</x:f>
        <x:v>YES</x:v>
      </x:c>
      <x:c r="F10" s="1" t="s">
        <x:v>1154</x:v>
      </x:c>
    </x:row>
    <x:row r="11" ht="14.25" hidden="0" customHeight="1">
      <x:c r="A11" s="1" t="s">
        <x:v>1157</x:v>
      </x:c>
      <x:c r="B11" s="1" t="s">
        <x:v>1158</x:v>
      </x:c>
      <x:c r="C11" s="1" t="s">
        <x:v>686</x:v>
      </x:c>
      <x:c r="D11" s="1" t="str">
        <x:f aca="0">D36</x:f>
        <x:v>A</x:v>
      </x:c>
      <x:c r="E11" s="1" t="str">
        <x:f aca="0">IF(D11=$D$14,"YES","NO")</x:f>
        <x:v>YES</x:v>
      </x:c>
      <x:c r="F11" s="1" t="s">
        <x:v>1154</x:v>
      </x:c>
    </x:row>
    <x:row r="12" ht="14.25" hidden="0" customHeight="1">
      <x:c r="A12" s="1" t="s">
        <x:v>1159</x:v>
      </x:c>
      <x:c r="B12" s="1" t="s">
        <x:v>1160</x:v>
      </x:c>
      <x:c r="C12" s="1" t="s">
        <x:v>1161</x:v>
      </x:c>
      <x:c r="D12" s="1" t="str">
        <x:f aca="0">N122&amp;", "&amp;N123</x:f>
        <x:v>PASS, PASS</x:v>
      </x:c>
      <x:c r="E12" s="1" t="str">
        <x:f aca="0">IF(AND(N122="PASS",N123="PASS"),"YES","NO")</x:f>
        <x:v>YES</x:v>
      </x:c>
      <x:c r="F12" s="1" t="s">
        <x:v>1162</x:v>
      </x:c>
    </x:row>
    <x:row r="13" ht="14.25" hidden="0" customHeight="1">
      <x:c r="A13" s="12" t="s">
        <x:v>1163</x:v>
      </x:c>
      <x:c r="B13" s="12" t="s">
        <x:v>94</x:v>
      </x:c>
      <x:c r="C13" s="12" t="s">
        <x:v>95</x:v>
      </x:c>
      <x:c r="D13" s="12" t="s">
        <x:v>1164</x:v>
      </x:c>
      <x:c r="E13" s="12" t="s">
        <x:v>699</x:v>
      </x:c>
    </x:row>
    <x:row r="14" ht="14.25" hidden="0" customHeight="1">
      <x:c r="A14" s="1" t="s">
        <x:v>1165</x:v>
      </x:c>
      <x:c r="B14" s="10">
        <x:f aca="0">RLS!B61</x:f>
        <x:v>0.01531294271682332</x:v>
      </x:c>
      <x:c r="C14" s="10">
        <x:f aca="0">RLS!B62</x:f>
        <x:v>-0.0011223873850524822</x:v>
      </x:c>
      <x:c r="D14" s="1" t="str">
        <x:f aca="0">IF(B14&gt;=C14,"A","B")</x:f>
        <x:v>A</x:v>
      </x:c>
      <x:c r="E14" s="1">
        <x:f aca="0">B14-C14</x:f>
        <x:v>0.016435330101875804</x:v>
      </x:c>
    </x:row>
    <x:row r="15" ht="14.25" hidden="0" customHeight="1">
      <x:c r="A15" s="9" t="s">
        <x:v>1166</x:v>
      </x:c>
    </x:row>
    <x:row r="16" ht="14.25" hidden="0" customHeight="1">
      <x:c r="A16" s="1" t="s">
        <x:v>1167</x:v>
      </x:c>
      <x:c r="B16" s="1" t="str">
        <x:f aca="0">IF(AND($D$34=$D$14,$D$35=$D$14,$D$36=$D$14,$N$122="PASS",$N$123="PASS"),"STABLE","CHANGES DETECTED")</x:f>
        <x:v>STABLE</x:v>
      </x:c>
    </x:row>
    <x:row r="17" ht="13.800000190734863" hidden="0"/>
    <x:row r="18" ht="14.25" hidden="0" customHeight="1">
      <x:c r="A18" s="13"/>
    </x:row>
    <x:row r="19" ht="13.5" hidden="0" customHeight="1"/>
    <x:row r="20" ht="14.25" hidden="0" customHeight="1">
      <x:c r="A20" s="9"/>
      <x:c r="K20" s="1" t="s">
        <x:v>438</x:v>
      </x:c>
      <x:c r="L20" s="1" t="s">
        <x:v>428</x:v>
      </x:c>
      <x:c r="M20" s="1" t="s">
        <x:v>437</x:v>
      </x:c>
      <x:c r="N20" s="1" t="s">
        <x:v>439</x:v>
      </x:c>
      <x:c r="O20" s="1" t="s">
        <x:v>436</x:v>
      </x:c>
      <x:c r="P20" s="1" t="s">
        <x:v>538</x:v>
      </x:c>
      <x:c r="Q20" s="1" t="s">
        <x:v>434</x:v>
      </x:c>
    </x:row>
    <x:row r="21" ht="14.25" hidden="0" customHeight="1">
      <x:c r="J21" s="1" t="s">
        <x:v>1168</x:v>
      </x:c>
      <x:c r="K21" s="28" t="n">
        <x:f aca="0">Parameters!$B$48</x:f>
        <x:v>0.142857142857143</x:v>
      </x:c>
      <x:c r="L21" s="28" t="n">
        <x:f aca="0">Parameters!$B$49</x:f>
        <x:v>0.142857142857143</x:v>
      </x:c>
      <x:c r="M21" s="28" t="n">
        <x:f aca="0">Parameters!$B$50</x:f>
        <x:v>0.142857142857143</x:v>
      </x:c>
      <x:c r="N21" s="28" t="n">
        <x:f aca="0">Parameters!$B$51</x:f>
        <x:v>0.142857142857143</x:v>
      </x:c>
      <x:c r="O21" s="28" t="n">
        <x:f aca="0">Parameters!$B$52</x:f>
        <x:v>0.142857142857143</x:v>
      </x:c>
      <x:c r="P21" s="28" t="n">
        <x:f aca="0">Parameters!$B$53</x:f>
        <x:v>0.142857142857143</x:v>
      </x:c>
      <x:c r="Q21" s="28" t="n">
        <x:f aca="0">Parameters!$B$54</x:f>
        <x:v>0.142857142857143</x:v>
      </x:c>
    </x:row>
    <x:row r="22" ht="14.25" hidden="0" customHeight="1">
      <x:c r="J22" s="1" t="s">
        <x:v>1169</x:v>
      </x:c>
      <x:c r="K22" s="1" t="n">
        <x:v>1.1</x:v>
      </x:c>
      <x:c r="L22" s="1" t="n">
        <x:v>1</x:v>
      </x:c>
      <x:c r="M22" s="1" t="n">
        <x:v>1</x:v>
      </x:c>
      <x:c r="N22" s="1" t="n">
        <x:v>1</x:v>
      </x:c>
      <x:c r="O22" s="1" t="n">
        <x:v>1</x:v>
      </x:c>
      <x:c r="P22" s="1" t="n">
        <x:v>1</x:v>
      </x:c>
      <x:c r="Q22" s="1" t="n">
        <x:v>1</x:v>
      </x:c>
    </x:row>
    <x:row r="23" ht="14.25" hidden="0" customHeight="1">
      <x:c r="J23" s="1" t="s">
        <x:v>1170</x:v>
      </x:c>
      <x:c r="K23" s="1">
        <x:f aca="0">K$21*K$22/SUMPRODUCT($K$21:$Q$21,$K$22:$Q$22)</x:f>
        <x:v>0.15492957746478872</x:v>
      </x:c>
      <x:c r="L23" s="1">
        <x:f aca="0">L$21*L$22/SUMPRODUCT($K$21:$Q$21,$K$22:$Q$22)</x:f>
        <x:v>0.1408450704225352</x:v>
      </x:c>
      <x:c r="M23" s="1">
        <x:f aca="0">M$21*M$22/SUMPRODUCT($K$21:$Q$21,$K$22:$Q$22)</x:f>
        <x:v>0.1408450704225352</x:v>
      </x:c>
      <x:c r="N23" s="1">
        <x:f aca="0">N$21*N$22/SUMPRODUCT($K$21:$Q$21,$K$22:$Q$22)</x:f>
        <x:v>0.1408450704225352</x:v>
      </x:c>
      <x:c r="O23" s="1">
        <x:f aca="0">O$21*O$22/SUMPRODUCT($K$21:$Q$21,$K$22:$Q$22)</x:f>
        <x:v>0.1408450704225352</x:v>
      </x:c>
      <x:c r="P23" s="1">
        <x:f aca="0">P$21*P$22/SUMPRODUCT($K$21:$Q$21,$K$22:$Q$22)</x:f>
        <x:v>0.1408450704225352</x:v>
      </x:c>
      <x:c r="Q23" s="1">
        <x:f aca="0">Q$21*Q$22/SUMPRODUCT($K$21:$Q$21,$K$22:$Q$22)</x:f>
        <x:v>0.1408450704225352</x:v>
      </x:c>
    </x:row>
    <x:row r="24" ht="14.25" hidden="0" customHeight="1">
      <x:c r="J24" s="1" t="s">
        <x:v>1171</x:v>
      </x:c>
      <x:c r="K24" s="1" t="n">
        <x:v>1</x:v>
      </x:c>
      <x:c r="L24" s="1" t="n">
        <x:v>1</x:v>
      </x:c>
      <x:c r="M24" s="1" t="n">
        <x:v>1</x:v>
      </x:c>
      <x:c r="N24" s="1" t="n">
        <x:v>1</x:v>
      </x:c>
      <x:c r="O24" s="1" t="n">
        <x:v>1</x:v>
      </x:c>
      <x:c r="P24" s="1" t="n">
        <x:v>1</x:v>
      </x:c>
      <x:c r="Q24" s="1" t="n">
        <x:v>1.1</x:v>
      </x:c>
    </x:row>
    <x:row r="25" ht="14.25" hidden="0" customHeight="1">
      <x:c r="A25" s="1" t="s">
        <x:v>1172</x:v>
      </x:c>
      <x:c r="J25" s="1" t="s">
        <x:v>1173</x:v>
      </x:c>
      <x:c r="K25" s="1">
        <x:f aca="0">K$21*K$24/SUMPRODUCT($K$21:$Q$21,$K$24:$Q$24)</x:f>
        <x:v>0.1408450704225352</x:v>
      </x:c>
      <x:c r="L25" s="1">
        <x:f aca="0">L$21*L$24/SUMPRODUCT($K$21:$Q$21,$K$24:$Q$24)</x:f>
        <x:v>0.1408450704225352</x:v>
      </x:c>
      <x:c r="M25" s="1">
        <x:f aca="0">M$21*M$24/SUMPRODUCT($K$21:$Q$21,$K$24:$Q$24)</x:f>
        <x:v>0.1408450704225352</x:v>
      </x:c>
      <x:c r="N25" s="1">
        <x:f aca="0">N$21*N$24/SUMPRODUCT($K$21:$Q$21,$K$24:$Q$24)</x:f>
        <x:v>0.1408450704225352</x:v>
      </x:c>
      <x:c r="O25" s="1">
        <x:f aca="0">O$21*O$24/SUMPRODUCT($K$21:$Q$21,$K$24:$Q$24)</x:f>
        <x:v>0.1408450704225352</x:v>
      </x:c>
      <x:c r="P25" s="1">
        <x:f aca="0">P$21*P$24/SUMPRODUCT($K$21:$Q$21,$K$24:$Q$24)</x:f>
        <x:v>0.1408450704225352</x:v>
      </x:c>
      <x:c r="Q25" s="1">
        <x:f aca="0">Q$21*Q$24/SUMPRODUCT($K$21:$Q$21,$K$24:$Q$24)</x:f>
        <x:v>0.15492957746478872</x:v>
      </x:c>
    </x:row>
    <x:row r="26" ht="13.5" hidden="0" customHeight="1">
      <x:c r="J26" s="1" t="s">
        <x:v>1174</x:v>
      </x:c>
      <x:c r="K26" s="1" t="n">
        <x:v>1</x:v>
      </x:c>
      <x:c r="L26" s="1" t="n">
        <x:v>1</x:v>
      </x:c>
      <x:c r="M26" s="1" t="n">
        <x:v>1.1</x:v>
      </x:c>
      <x:c r="N26" s="1" t="n">
        <x:v>1</x:v>
      </x:c>
      <x:c r="O26" s="1" t="n">
        <x:v>1.1</x:v>
      </x:c>
      <x:c r="P26" s="1" t="n">
        <x:v>1</x:v>
      </x:c>
      <x:c r="Q26" s="1" t="n">
        <x:v>1</x:v>
      </x:c>
    </x:row>
    <x:row r="27" ht="14.25" hidden="0" customHeight="1">
      <x:c r="A27" s="9" t="s">
        <x:v>1175</x:v>
      </x:c>
      <x:c r="J27" s="1" t="s">
        <x:v>1176</x:v>
      </x:c>
      <x:c r="K27" s="1">
        <x:f aca="0">K$21*K$26/SUMPRODUCT($K$21:$Q$21,$K$26:$Q$26)</x:f>
        <x:v>0.13888888888888887</x:v>
      </x:c>
      <x:c r="L27" s="1">
        <x:f aca="0">L$21*L$26/SUMPRODUCT($K$21:$Q$21,$K$26:$Q$26)</x:f>
        <x:v>0.13888888888888887</x:v>
      </x:c>
      <x:c r="M27" s="1">
        <x:f aca="0">M$21*M$26/SUMPRODUCT($K$21:$Q$21,$K$26:$Q$26)</x:f>
        <x:v>0.1527777777777778</x:v>
      </x:c>
      <x:c r="N27" s="1">
        <x:f aca="0">N$21*N$26/SUMPRODUCT($K$21:$Q$21,$K$26:$Q$26)</x:f>
        <x:v>0.13888888888888887</x:v>
      </x:c>
      <x:c r="O27" s="1">
        <x:f aca="0">O$21*O$26/SUMPRODUCT($K$21:$Q$21,$K$26:$Q$26)</x:f>
        <x:v>0.1527777777777778</x:v>
      </x:c>
      <x:c r="P27" s="1">
        <x:f aca="0">P$21*P$26/SUMPRODUCT($K$21:$Q$21,$K$26:$Q$26)</x:f>
        <x:v>0.13888888888888887</x:v>
      </x:c>
      <x:c r="Q27" s="1">
        <x:f aca="0">Q$21*Q$26/SUMPRODUCT($K$21:$Q$21,$K$26:$Q$26)</x:f>
        <x:v>0.13888888888888887</x:v>
      </x:c>
    </x:row>
    <x:row r="28" ht="14.25" hidden="0" customHeight="1">
      <x:c r="A28" s="1" t="s">
        <x:v>1177</x:v>
      </x:c>
    </x:row>
    <x:row r="29" ht="14.25" hidden="0" customHeight="1">
      <x:c r="A29" s="1" t="s">
        <x:v>1178</x:v>
      </x:c>
      <x:c r="J29" s="1" t="s">
        <x:v>1179</x:v>
      </x:c>
    </x:row>
    <x:row r="30" ht="14.25" hidden="0" customHeight="1">
      <x:c r="I30" s="1" t="s">
        <x:v>427</x:v>
      </x:c>
      <x:c r="J30" s="28">
        <x:f aca="0">Parameters!$B$38</x:f>
        <x:v>0.3076666666666667</x:v>
      </x:c>
      <x:c r="K30" s="1">
        <x:f aca="0">$J30*K$23</x:f>
        <x:v>0.04766666666666667</x:v>
      </x:c>
      <x:c r="L30" s="1">
        <x:f aca="0">$J30*L$23</x:f>
        <x:v>0.043333333333333335</x:v>
      </x:c>
      <x:c r="M30" s="1">
        <x:f aca="0">$J30*M$23</x:f>
        <x:v>0.043333333333333335</x:v>
      </x:c>
      <x:c r="N30" s="1">
        <x:f aca="0">$J30*N$23</x:f>
        <x:v>0.043333333333333335</x:v>
      </x:c>
      <x:c r="O30" s="1">
        <x:f aca="0">$J30*O$23</x:f>
        <x:v>0.043333333333333335</x:v>
      </x:c>
      <x:c r="P30" s="1">
        <x:f aca="0">$J30*P$23</x:f>
        <x:v>0.043333333333333335</x:v>
      </x:c>
      <x:c r="Q30" s="1">
        <x:f aca="0">$J30*Q$23</x:f>
        <x:v>0.043333333333333335</x:v>
      </x:c>
    </x:row>
    <x:row r="31" ht="13.5" hidden="0" customHeight="1">
      <x:c r="I31" s="1" t="s">
        <x:v>429</x:v>
      </x:c>
      <x:c r="J31" s="28">
        <x:f aca="0">Parameters!$B$39</x:f>
        <x:v>0.15633333333333332</x:v>
      </x:c>
      <x:c r="K31" s="1" t="n">
        <x:f aca="0">$J31*K$23</x:f>
        <x:v>0.0242206572769953</x:v>
      </x:c>
      <x:c r="L31" s="1" t="n">
        <x:f aca="0">$J31*L$23</x:f>
        <x:v>0.022018779342723</x:v>
      </x:c>
      <x:c r="M31" s="1" t="n">
        <x:f aca="0">$J31*M$23</x:f>
        <x:v>0.022018779342723</x:v>
      </x:c>
      <x:c r="N31" s="1" t="n">
        <x:f aca="0">$J31*N$23</x:f>
        <x:v>0.022018779342723</x:v>
      </x:c>
      <x:c r="O31" s="1" t="n">
        <x:f aca="0">$J31*O$23</x:f>
        <x:v>0.022018779342723</x:v>
      </x:c>
      <x:c r="P31" s="1" t="n">
        <x:f aca="0">$J31*P$23</x:f>
        <x:v>0.022018779342723</x:v>
      </x:c>
      <x:c r="Q31" s="1" t="n">
        <x:f aca="0">$J31*Q$23</x:f>
        <x:v>0.022018779342723</x:v>
      </x:c>
    </x:row>
    <x:row r="32" ht="14.25" hidden="0" customHeight="1">
      <x:c r="A32" s="9" t="s">
        <x:v>1180</x:v>
      </x:c>
      <x:c r="I32" s="1" t="s">
        <x:v>430</x:v>
      </x:c>
      <x:c r="J32" s="28">
        <x:f aca="0">Parameters!$B$40</x:f>
        <x:v>0.12233333333333335</x:v>
      </x:c>
      <x:c r="K32" s="1">
        <x:f aca="0">$J32*K$23</x:f>
        <x:v>0.01895305164319249</x:v>
      </x:c>
      <x:c r="L32" s="1">
        <x:f aca="0">$J32*L$23</x:f>
        <x:v>0.01723004694835681</x:v>
      </x:c>
      <x:c r="M32" s="1">
        <x:f aca="0">$J32*M$23</x:f>
        <x:v>0.01723004694835681</x:v>
      </x:c>
      <x:c r="N32" s="1">
        <x:f aca="0">$J32*N$23</x:f>
        <x:v>0.01723004694835681</x:v>
      </x:c>
      <x:c r="O32" s="1">
        <x:f aca="0">$J32*O$23</x:f>
        <x:v>0.01723004694835681</x:v>
      </x:c>
      <x:c r="P32" s="1">
        <x:f aca="0">$J32*P$23</x:f>
        <x:v>0.01723004694835681</x:v>
      </x:c>
      <x:c r="Q32" s="1">
        <x:f aca="0">$J32*Q$23</x:f>
        <x:v>0.01723004694835681</x:v>
      </x:c>
    </x:row>
    <x:row r="33" ht="14.25" hidden="0" customHeight="1">
      <x:c r="A33" s="12" t="s">
        <x:v>1181</x:v>
      </x:c>
      <x:c r="B33" s="12"/>
      <x:c r="C33" s="12"/>
      <x:c r="D33" s="12"/>
      <x:c r="E33" s="12"/>
      <x:c r="I33" s="1" t="s">
        <x:v>431</x:v>
      </x:c>
      <x:c r="J33" s="28">
        <x:f aca="0">Parameters!$B$41</x:f>
        <x:v>0.11666666666666667</x:v>
      </x:c>
      <x:c r="K33" s="1">
        <x:f aca="0">$J33*K$23</x:f>
        <x:v>0.018075117370892017</x:v>
      </x:c>
      <x:c r="L33" s="1">
        <x:f aca="0">$J33*L$23</x:f>
        <x:v>0.016431924882629106</x:v>
      </x:c>
      <x:c r="M33" s="1">
        <x:f aca="0">$J33*M$23</x:f>
        <x:v>0.016431924882629106</x:v>
      </x:c>
      <x:c r="N33" s="1">
        <x:f aca="0">$J33*N$23</x:f>
        <x:v>0.016431924882629106</x:v>
      </x:c>
      <x:c r="O33" s="1">
        <x:f aca="0">$J33*O$23</x:f>
        <x:v>0.016431924882629106</x:v>
      </x:c>
      <x:c r="P33" s="1">
        <x:f aca="0">$J33*P$23</x:f>
        <x:v>0.016431924882629106</x:v>
      </x:c>
      <x:c r="Q33" s="1">
        <x:f aca="0">$J33*Q$23</x:f>
        <x:v>0.016431924882629106</x:v>
      </x:c>
    </x:row>
    <x:row r="34" ht="14.25" hidden="0" customHeight="1">
      <x:c r="A34" s="1" t="s">
        <x:v>1182</x:v>
      </x:c>
      <x:c r="B34" s="1">
        <x:f aca="0">SUMPRODUCT(I_prop!$B$7:$H$13,$K$30:$Q$36)</x:f>
        <x:v>0.01502419653899946</x:v>
      </x:c>
      <x:c r="C34" s="1">
        <x:f aca="0">SUMPRODUCT(I_prop!$B$18:$H$24,$K$30:$Q$36)</x:f>
        <x:v>-0.0011077415183357938</x:v>
      </x:c>
      <x:c r="D34" s="1" t="str">
        <x:f aca="0">IF(B34&gt;=C34,"A","B")</x:f>
        <x:v>A</x:v>
      </x:c>
      <x:c r="E34" s="1">
        <x:f aca="0">B34-C34</x:f>
        <x:v>0.016131938057335253</x:v>
      </x:c>
      <x:c r="I34" s="1" t="s">
        <x:v>432</x:v>
      </x:c>
      <x:c r="J34" s="28">
        <x:f aca="0">Parameters!$B$42</x:f>
        <x:v>0.09133333333333334</x:v>
      </x:c>
      <x:c r="K34" s="1">
        <x:f aca="0">$J34*K$23</x:f>
        <x:v>0.014150234741784036</x:v>
      </x:c>
      <x:c r="L34" s="1">
        <x:f aca="0">$J34*L$23</x:f>
        <x:v>0.012863849765258215</x:v>
      </x:c>
      <x:c r="M34" s="1">
        <x:f aca="0">$J34*M$23</x:f>
        <x:v>0.012863849765258215</x:v>
      </x:c>
      <x:c r="N34" s="1">
        <x:f aca="0">$J34*N$23</x:f>
        <x:v>0.012863849765258215</x:v>
      </x:c>
      <x:c r="O34" s="1">
        <x:f aca="0">$J34*O$23</x:f>
        <x:v>0.012863849765258215</x:v>
      </x:c>
      <x:c r="P34" s="1">
        <x:f aca="0">$J34*P$23</x:f>
        <x:v>0.012863849765258215</x:v>
      </x:c>
      <x:c r="Q34" s="1">
        <x:f aca="0">$J34*Q$23</x:f>
        <x:v>0.012863849765258215</x:v>
      </x:c>
    </x:row>
    <x:row r="35" ht="14.25" hidden="0" customHeight="1">
      <x:c r="A35" s="1" t="s">
        <x:v>1183</x:v>
      </x:c>
      <x:c r="B35" s="1">
        <x:f aca="0">SUMPRODUCT(I_prop!$B$7:$H$13,$K$40:$Q$46)</x:f>
        <x:v>0.015119329005831982</x:v>
      </x:c>
      <x:c r="C35" s="1">
        <x:f aca="0">SUMPRODUCT(I_prop!$B$18:$H$24,$K$40:$Q$46)</x:f>
        <x:v>-0.0011212874434036756</x:v>
      </x:c>
      <x:c r="D35" s="1" t="str">
        <x:f aca="0">IF(B35&gt;=C35,"A","B")</x:f>
        <x:v>A</x:v>
      </x:c>
      <x:c r="E35" s="1">
        <x:f aca="0">B35-C35</x:f>
        <x:v>0.01624061644923566</x:v>
      </x:c>
      <x:c r="I35" s="1" t="s">
        <x:v>433</x:v>
      </x:c>
      <x:c r="J35" s="28" t="n">
        <x:f aca="0">Parameters!$B$43</x:f>
        <x:v>0.1034</x:v>
      </x:c>
      <x:c r="K35" s="1">
        <x:f aca="0">$J35*K$23</x:f>
        <x:v>0.016019718309859154</x:v>
      </x:c>
      <x:c r="L35" s="1">
        <x:f aca="0">$J35*L$23</x:f>
        <x:v>0.014563380281690139</x:v>
      </x:c>
      <x:c r="M35" s="1">
        <x:f aca="0">$J35*M$23</x:f>
        <x:v>0.014563380281690139</x:v>
      </x:c>
      <x:c r="N35" s="1">
        <x:f aca="0">$J35*N$23</x:f>
        <x:v>0.014563380281690139</x:v>
      </x:c>
      <x:c r="O35" s="1">
        <x:f aca="0">$J35*O$23</x:f>
        <x:v>0.014563380281690139</x:v>
      </x:c>
      <x:c r="P35" s="1">
        <x:f aca="0">$J35*P$23</x:f>
        <x:v>0.014563380281690139</x:v>
      </x:c>
      <x:c r="Q35" s="1">
        <x:f aca="0">$J35*Q$23</x:f>
        <x:v>0.014563380281690139</x:v>
      </x:c>
    </x:row>
    <x:row r="36" ht="13.5" hidden="0" customHeight="1">
      <x:c r="A36" s="1" t="s">
        <x:v>1184</x:v>
      </x:c>
      <x:c r="B36" s="1">
        <x:f aca="0">SUMPRODUCT(I_prop!$B$7:$H$13,$K$50:$Q$56)</x:f>
        <x:v>0.01581447185511945</x:v>
      </x:c>
      <x:c r="C36" s="1">
        <x:f aca="0">SUMPRODUCT(I_prop!$B$18:$H$24,$K$50:$Q$56)</x:f>
        <x:v>-0.0011846806426789728</x:v>
      </x:c>
      <x:c r="D36" s="1" t="str">
        <x:f aca="0">IF(B36&gt;=C36,"A","B")</x:f>
        <x:v>A</x:v>
      </x:c>
      <x:c r="E36" s="1">
        <x:f aca="0">B36-C36</x:f>
        <x:v>0.016999152497798424</x:v>
      </x:c>
      <x:c r="I36" s="1" t="s">
        <x:v>435</x:v>
      </x:c>
      <x:c r="J36" s="28">
        <x:f aca="0">Parameters!$B$44</x:f>
        <x:v>0.10226666666666667</x:v>
      </x:c>
      <x:c r="K36" s="1">
        <x:f aca="0">$J36*K$23</x:f>
        <x:v>0.01584413145539906</x:v>
      </x:c>
      <x:c r="L36" s="1">
        <x:f aca="0">$J36*L$23</x:f>
        <x:v>0.0144037558685446</x:v>
      </x:c>
      <x:c r="M36" s="1">
        <x:f aca="0">$J36*M$23</x:f>
        <x:v>0.0144037558685446</x:v>
      </x:c>
      <x:c r="N36" s="1">
        <x:f aca="0">$J36*N$23</x:f>
        <x:v>0.0144037558685446</x:v>
      </x:c>
      <x:c r="O36" s="1">
        <x:f aca="0">$J36*O$23</x:f>
        <x:v>0.0144037558685446</x:v>
      </x:c>
      <x:c r="P36" s="1">
        <x:f aca="0">$J36*P$23</x:f>
        <x:v>0.0144037558685446</x:v>
      </x:c>
      <x:c r="Q36" s="1">
        <x:f aca="0">$J36*Q$23</x:f>
        <x:v>0.0144037558685446</x:v>
      </x:c>
    </x:row>
    <x:row r="37" ht="14.25" hidden="0" customHeight="1">
      <x:c r="A37" s="56" t="s">
        <x:v>1185</x:v>
      </x:c>
    </x:row>
    <x:row r="38" ht="13.5" hidden="0" customHeight="1"/>
    <x:row r="39" ht="13.5" hidden="0" customHeight="1"/>
    <x:row r="40" ht="13.5" hidden="0" customHeight="1">
      <x:c r="I40" s="1" t="s">
        <x:v>427</x:v>
      </x:c>
      <x:c r="J40" s="28">
        <x:f aca="0">Parameters!$B$38</x:f>
        <x:v>0.3076666666666667</x:v>
      </x:c>
      <x:c r="K40" s="1">
        <x:f aca="0">$J40*K$25</x:f>
        <x:v>0.043333333333333335</x:v>
      </x:c>
      <x:c r="L40" s="1">
        <x:f aca="0">$J40*L$25</x:f>
        <x:v>0.043333333333333335</x:v>
      </x:c>
      <x:c r="M40" s="1">
        <x:f aca="0">$J40*M$25</x:f>
        <x:v>0.043333333333333335</x:v>
      </x:c>
      <x:c r="N40" s="1">
        <x:f aca="0">$J40*N$25</x:f>
        <x:v>0.043333333333333335</x:v>
      </x:c>
      <x:c r="O40" s="1">
        <x:f aca="0">$J40*O$25</x:f>
        <x:v>0.043333333333333335</x:v>
      </x:c>
      <x:c r="P40" s="1">
        <x:f aca="0">$J40*P$25</x:f>
        <x:v>0.043333333333333335</x:v>
      </x:c>
      <x:c r="Q40" s="1">
        <x:f aca="0">$J40*Q$25</x:f>
        <x:v>0.04766666666666667</x:v>
      </x:c>
    </x:row>
    <x:row r="41" ht="13.5" hidden="0" customHeight="1">
      <x:c r="I41" s="1" t="s">
        <x:v>429</x:v>
      </x:c>
      <x:c r="J41" s="28">
        <x:f aca="0">Parameters!$B$39</x:f>
        <x:v>0.15633333333333332</x:v>
      </x:c>
      <x:c r="K41" s="1" t="n">
        <x:f aca="0">$J41*K$25</x:f>
        <x:v>0.022018779342723</x:v>
      </x:c>
      <x:c r="L41" s="1" t="n">
        <x:f aca="0">$J41*L$25</x:f>
        <x:v>0.022018779342723</x:v>
      </x:c>
      <x:c r="M41" s="1" t="n">
        <x:f aca="0">$J41*M$25</x:f>
        <x:v>0.022018779342723</x:v>
      </x:c>
      <x:c r="N41" s="1" t="n">
        <x:f aca="0">$J41*N$25</x:f>
        <x:v>0.022018779342723</x:v>
      </x:c>
      <x:c r="O41" s="1" t="n">
        <x:f aca="0">$J41*O$25</x:f>
        <x:v>0.022018779342723</x:v>
      </x:c>
      <x:c r="P41" s="1" t="n">
        <x:f aca="0">$J41*P$25</x:f>
        <x:v>0.022018779342723</x:v>
      </x:c>
      <x:c r="Q41" s="1" t="n">
        <x:f aca="0">$J41*Q$25</x:f>
        <x:v>0.0242206572769953</x:v>
      </x:c>
    </x:row>
    <x:row r="42" ht="13.5" hidden="0" customHeight="1">
      <x:c r="I42" s="1" t="s">
        <x:v>430</x:v>
      </x:c>
      <x:c r="J42" s="28">
        <x:f aca="0">Parameters!$B$40</x:f>
        <x:v>0.12233333333333335</x:v>
      </x:c>
      <x:c r="K42" s="1">
        <x:f aca="0">$J42*K$25</x:f>
        <x:v>0.01723004694835681</x:v>
      </x:c>
      <x:c r="L42" s="1">
        <x:f aca="0">$J42*L$25</x:f>
        <x:v>0.01723004694835681</x:v>
      </x:c>
      <x:c r="M42" s="1">
        <x:f aca="0">$J42*M$25</x:f>
        <x:v>0.01723004694835681</x:v>
      </x:c>
      <x:c r="N42" s="1">
        <x:f aca="0">$J42*N$25</x:f>
        <x:v>0.01723004694835681</x:v>
      </x:c>
      <x:c r="O42" s="1">
        <x:f aca="0">$J42*O$25</x:f>
        <x:v>0.01723004694835681</x:v>
      </x:c>
      <x:c r="P42" s="1">
        <x:f aca="0">$J42*P$25</x:f>
        <x:v>0.01723004694835681</x:v>
      </x:c>
      <x:c r="Q42" s="1">
        <x:f aca="0">$J42*Q$25</x:f>
        <x:v>0.01895305164319249</x:v>
      </x:c>
    </x:row>
    <x:row r="43" ht="13.5" hidden="0" customHeight="1">
      <x:c r="I43" s="1" t="s">
        <x:v>431</x:v>
      </x:c>
      <x:c r="J43" s="28">
        <x:f aca="0">Parameters!$B$41</x:f>
        <x:v>0.11666666666666667</x:v>
      </x:c>
      <x:c r="K43" s="1">
        <x:f aca="0">$J43*K$25</x:f>
        <x:v>0.016431924882629106</x:v>
      </x:c>
      <x:c r="L43" s="1">
        <x:f aca="0">$J43*L$25</x:f>
        <x:v>0.016431924882629106</x:v>
      </x:c>
      <x:c r="M43" s="1">
        <x:f aca="0">$J43*M$25</x:f>
        <x:v>0.016431924882629106</x:v>
      </x:c>
      <x:c r="N43" s="1">
        <x:f aca="0">$J43*N$25</x:f>
        <x:v>0.016431924882629106</x:v>
      </x:c>
      <x:c r="O43" s="1">
        <x:f aca="0">$J43*O$25</x:f>
        <x:v>0.016431924882629106</x:v>
      </x:c>
      <x:c r="P43" s="1">
        <x:f aca="0">$J43*P$25</x:f>
        <x:v>0.016431924882629106</x:v>
      </x:c>
      <x:c r="Q43" s="1">
        <x:f aca="0">$J43*Q$25</x:f>
        <x:v>0.018075117370892017</x:v>
      </x:c>
    </x:row>
    <x:row r="44" ht="13.5" hidden="0" customHeight="1">
      <x:c r="I44" s="1" t="s">
        <x:v>432</x:v>
      </x:c>
      <x:c r="J44" s="28">
        <x:f aca="0">Parameters!$B$42</x:f>
        <x:v>0.09133333333333334</x:v>
      </x:c>
      <x:c r="K44" s="1">
        <x:f aca="0">$J44*K$25</x:f>
        <x:v>0.012863849765258215</x:v>
      </x:c>
      <x:c r="L44" s="1">
        <x:f aca="0">$J44*L$25</x:f>
        <x:v>0.012863849765258215</x:v>
      </x:c>
      <x:c r="M44" s="1">
        <x:f aca="0">$J44*M$25</x:f>
        <x:v>0.012863849765258215</x:v>
      </x:c>
      <x:c r="N44" s="1">
        <x:f aca="0">$J44*N$25</x:f>
        <x:v>0.012863849765258215</x:v>
      </x:c>
      <x:c r="O44" s="1">
        <x:f aca="0">$J44*O$25</x:f>
        <x:v>0.012863849765258215</x:v>
      </x:c>
      <x:c r="P44" s="1">
        <x:f aca="0">$J44*P$25</x:f>
        <x:v>0.012863849765258215</x:v>
      </x:c>
      <x:c r="Q44" s="1">
        <x:f aca="0">$J44*Q$25</x:f>
        <x:v>0.014150234741784036</x:v>
      </x:c>
    </x:row>
    <x:row r="45" ht="13.5" hidden="0" customHeight="1">
      <x:c r="I45" s="1" t="s">
        <x:v>433</x:v>
      </x:c>
      <x:c r="J45" s="28" t="n">
        <x:f aca="0">Parameters!$B$43</x:f>
        <x:v>0.1034</x:v>
      </x:c>
      <x:c r="K45" s="1">
        <x:f aca="0">$J45*K$25</x:f>
        <x:v>0.014563380281690139</x:v>
      </x:c>
      <x:c r="L45" s="1">
        <x:f aca="0">$J45*L$25</x:f>
        <x:v>0.014563380281690139</x:v>
      </x:c>
      <x:c r="M45" s="1">
        <x:f aca="0">$J45*M$25</x:f>
        <x:v>0.014563380281690139</x:v>
      </x:c>
      <x:c r="N45" s="1">
        <x:f aca="0">$J45*N$25</x:f>
        <x:v>0.014563380281690139</x:v>
      </x:c>
      <x:c r="O45" s="1">
        <x:f aca="0">$J45*O$25</x:f>
        <x:v>0.014563380281690139</x:v>
      </x:c>
      <x:c r="P45" s="1">
        <x:f aca="0">$J45*P$25</x:f>
        <x:v>0.014563380281690139</x:v>
      </x:c>
      <x:c r="Q45" s="1">
        <x:f aca="0">$J45*Q$25</x:f>
        <x:v>0.016019718309859154</x:v>
      </x:c>
    </x:row>
    <x:row r="46" ht="13.5" hidden="0" customHeight="1">
      <x:c r="I46" s="1" t="s">
        <x:v>435</x:v>
      </x:c>
      <x:c r="J46" s="28">
        <x:f aca="0">Parameters!$B$44</x:f>
        <x:v>0.10226666666666667</x:v>
      </x:c>
      <x:c r="K46" s="1">
        <x:f aca="0">$J46*K$25</x:f>
        <x:v>0.0144037558685446</x:v>
      </x:c>
      <x:c r="L46" s="1">
        <x:f aca="0">$J46*L$25</x:f>
        <x:v>0.0144037558685446</x:v>
      </x:c>
      <x:c r="M46" s="1">
        <x:f aca="0">$J46*M$25</x:f>
        <x:v>0.0144037558685446</x:v>
      </x:c>
      <x:c r="N46" s="1">
        <x:f aca="0">$J46*N$25</x:f>
        <x:v>0.0144037558685446</x:v>
      </x:c>
      <x:c r="O46" s="1">
        <x:f aca="0">$J46*O$25</x:f>
        <x:v>0.0144037558685446</x:v>
      </x:c>
      <x:c r="P46" s="1">
        <x:f aca="0">$J46*P$25</x:f>
        <x:v>0.0144037558685446</x:v>
      </x:c>
      <x:c r="Q46" s="1">
        <x:f aca="0">$J46*Q$25</x:f>
        <x:v>0.01584413145539906</x:v>
      </x:c>
    </x:row>
    <x:row r="47" ht="13.5" hidden="0" customHeight="1"/>
    <x:row r="48" ht="13.5" hidden="0" customHeight="1"/>
    <x:row r="49" ht="13.5" hidden="0" customHeight="1"/>
    <x:row r="50" ht="13.5" hidden="0" customHeight="1">
      <x:c r="I50" s="1" t="s">
        <x:v>427</x:v>
      </x:c>
      <x:c r="J50" s="28">
        <x:f aca="0">Parameters!$B$38</x:f>
        <x:v>0.3076666666666667</x:v>
      </x:c>
      <x:c r="K50" s="1">
        <x:f aca="0">$J50*K$27</x:f>
        <x:v>0.04273148148148148</x:v>
      </x:c>
      <x:c r="L50" s="1">
        <x:f aca="0">$J50*L$27</x:f>
        <x:v>0.04273148148148148</x:v>
      </x:c>
      <x:c r="M50" s="1">
        <x:f aca="0">$J50*M$27</x:f>
        <x:v>0.04700462962962964</x:v>
      </x:c>
      <x:c r="N50" s="1">
        <x:f aca="0">$J50*N$27</x:f>
        <x:v>0.04273148148148148</x:v>
      </x:c>
      <x:c r="O50" s="1">
        <x:f aca="0">$J50*O$27</x:f>
        <x:v>0.04700462962962964</x:v>
      </x:c>
      <x:c r="P50" s="1">
        <x:f aca="0">$J50*P$27</x:f>
        <x:v>0.04273148148148148</x:v>
      </x:c>
      <x:c r="Q50" s="1">
        <x:f aca="0">$J50*Q$27</x:f>
        <x:v>0.04273148148148148</x:v>
      </x:c>
    </x:row>
    <x:row r="51" ht="13.5" hidden="0" customHeight="1">
      <x:c r="I51" s="1" t="s">
        <x:v>429</x:v>
      </x:c>
      <x:c r="J51" s="28">
        <x:f aca="0">Parameters!$B$39</x:f>
        <x:v>0.15633333333333332</x:v>
      </x:c>
      <x:c r="K51" s="1">
        <x:f aca="0">$J51*K$27</x:f>
        <x:v>0.021712962962962958</x:v>
      </x:c>
      <x:c r="L51" s="1">
        <x:f aca="0">$J51*L$27</x:f>
        <x:v>0.021712962962962958</x:v>
      </x:c>
      <x:c r="M51" s="1">
        <x:f aca="0">$J51*M$27</x:f>
        <x:v>0.02388425925925926</x:v>
      </x:c>
      <x:c r="N51" s="1">
        <x:f aca="0">$J51*N$27</x:f>
        <x:v>0.021712962962962958</x:v>
      </x:c>
      <x:c r="O51" s="1">
        <x:f aca="0">$J51*O$27</x:f>
        <x:v>0.02388425925925926</x:v>
      </x:c>
      <x:c r="P51" s="1">
        <x:f aca="0">$J51*P$27</x:f>
        <x:v>0.021712962962962958</x:v>
      </x:c>
      <x:c r="Q51" s="1">
        <x:f aca="0">$J51*Q$27</x:f>
        <x:v>0.021712962962962958</x:v>
      </x:c>
    </x:row>
    <x:row r="52" ht="13.5" hidden="0" customHeight="1">
      <x:c r="I52" s="1" t="s">
        <x:v>430</x:v>
      </x:c>
      <x:c r="J52" s="28">
        <x:f aca="0">Parameters!$B$40</x:f>
        <x:v>0.12233333333333335</x:v>
      </x:c>
      <x:c r="K52" s="1">
        <x:f aca="0">$J52*K$27</x:f>
        <x:v>0.01699074074074074</x:v>
      </x:c>
      <x:c r="L52" s="1">
        <x:f aca="0">$J52*L$27</x:f>
        <x:v>0.01699074074074074</x:v>
      </x:c>
      <x:c r="M52" s="1">
        <x:f aca="0">$J52*M$27</x:f>
        <x:v>0.01868981481481482</x:v>
      </x:c>
      <x:c r="N52" s="1">
        <x:f aca="0">$J52*N$27</x:f>
        <x:v>0.01699074074074074</x:v>
      </x:c>
      <x:c r="O52" s="1">
        <x:f aca="0">$J52*O$27</x:f>
        <x:v>0.01868981481481482</x:v>
      </x:c>
      <x:c r="P52" s="1">
        <x:f aca="0">$J52*P$27</x:f>
        <x:v>0.01699074074074074</x:v>
      </x:c>
      <x:c r="Q52" s="1">
        <x:f aca="0">$J52*Q$27</x:f>
        <x:v>0.01699074074074074</x:v>
      </x:c>
    </x:row>
    <x:row r="53" ht="13.5" hidden="0" customHeight="1">
      <x:c r="I53" s="1" t="s">
        <x:v>431</x:v>
      </x:c>
      <x:c r="J53" s="28">
        <x:f aca="0">Parameters!$B$41</x:f>
        <x:v>0.11666666666666667</x:v>
      </x:c>
      <x:c r="K53" s="1">
        <x:f aca="0">$J53*K$27</x:f>
        <x:v>0.016203703703703703</x:v>
      </x:c>
      <x:c r="L53" s="1">
        <x:f aca="0">$J53*L$27</x:f>
        <x:v>0.016203703703703703</x:v>
      </x:c>
      <x:c r="M53" s="1">
        <x:f aca="0">$J53*M$27</x:f>
        <x:v>0.017824074074074076</x:v>
      </x:c>
      <x:c r="N53" s="1">
        <x:f aca="0">$J53*N$27</x:f>
        <x:v>0.016203703703703703</x:v>
      </x:c>
      <x:c r="O53" s="1">
        <x:f aca="0">$J53*O$27</x:f>
        <x:v>0.017824074074074076</x:v>
      </x:c>
      <x:c r="P53" s="1">
        <x:f aca="0">$J53*P$27</x:f>
        <x:v>0.016203703703703703</x:v>
      </x:c>
      <x:c r="Q53" s="1">
        <x:f aca="0">$J53*Q$27</x:f>
        <x:v>0.016203703703703703</x:v>
      </x:c>
    </x:row>
    <x:row r="54" ht="13.5" hidden="0" customHeight="1">
      <x:c r="I54" s="1" t="s">
        <x:v>432</x:v>
      </x:c>
      <x:c r="J54" s="28">
        <x:f aca="0">Parameters!$B$42</x:f>
        <x:v>0.09133333333333334</x:v>
      </x:c>
      <x:c r="K54" s="1">
        <x:f aca="0">$J54*K$27</x:f>
        <x:v>0.012685185185185183</x:v>
      </x:c>
      <x:c r="L54" s="1">
        <x:f aca="0">$J54*L$27</x:f>
        <x:v>0.012685185185185183</x:v>
      </x:c>
      <x:c r="M54" s="1">
        <x:f aca="0">$J54*M$27</x:f>
        <x:v>0.013953703703703706</x:v>
      </x:c>
      <x:c r="N54" s="1">
        <x:f aca="0">$J54*N$27</x:f>
        <x:v>0.012685185185185183</x:v>
      </x:c>
      <x:c r="O54" s="1">
        <x:f aca="0">$J54*O$27</x:f>
        <x:v>0.013953703703703706</x:v>
      </x:c>
      <x:c r="P54" s="1">
        <x:f aca="0">$J54*P$27</x:f>
        <x:v>0.012685185185185183</x:v>
      </x:c>
      <x:c r="Q54" s="1">
        <x:f aca="0">$J54*Q$27</x:f>
        <x:v>0.012685185185185183</x:v>
      </x:c>
    </x:row>
    <x:row r="55" ht="13.5" hidden="0" customHeight="1">
      <x:c r="I55" s="1" t="s">
        <x:v>433</x:v>
      </x:c>
      <x:c r="J55" s="28" t="n">
        <x:f aca="0">Parameters!$B$43</x:f>
        <x:v>0.1034</x:v>
      </x:c>
      <x:c r="K55" s="1">
        <x:f aca="0">$J55*K$27</x:f>
        <x:v>0.01436111111111111</x:v>
      </x:c>
      <x:c r="L55" s="1">
        <x:f aca="0">$J55*L$27</x:f>
        <x:v>0.01436111111111111</x:v>
      </x:c>
      <x:c r="M55" s="1">
        <x:f aca="0">$J55*M$27</x:f>
        <x:v>0.015797222222222223</x:v>
      </x:c>
      <x:c r="N55" s="1">
        <x:f aca="0">$J55*N$27</x:f>
        <x:v>0.01436111111111111</x:v>
      </x:c>
      <x:c r="O55" s="1">
        <x:f aca="0">$J55*O$27</x:f>
        <x:v>0.015797222222222223</x:v>
      </x:c>
      <x:c r="P55" s="1">
        <x:f aca="0">$J55*P$27</x:f>
        <x:v>0.01436111111111111</x:v>
      </x:c>
      <x:c r="Q55" s="1">
        <x:f aca="0">$J55*Q$27</x:f>
        <x:v>0.01436111111111111</x:v>
      </x:c>
    </x:row>
    <x:row r="56" ht="13.5" hidden="0" customHeight="1">
      <x:c r="I56" s="1" t="s">
        <x:v>435</x:v>
      </x:c>
      <x:c r="J56" s="28">
        <x:f aca="0">Parameters!$B$44</x:f>
        <x:v>0.10226666666666667</x:v>
      </x:c>
      <x:c r="K56" s="1">
        <x:f aca="0">$J56*K$27</x:f>
        <x:v>0.014203703703703703</x:v>
      </x:c>
      <x:c r="L56" s="1">
        <x:f aca="0">$J56*L$27</x:f>
        <x:v>0.014203703703703703</x:v>
      </x:c>
      <x:c r="M56" s="1">
        <x:f aca="0">$J56*M$27</x:f>
        <x:v>0.015624074074074077</x:v>
      </x:c>
      <x:c r="N56" s="1">
        <x:f aca="0">$J56*N$27</x:f>
        <x:v>0.014203703703703703</x:v>
      </x:c>
      <x:c r="O56" s="1">
        <x:f aca="0">$J56*O$27</x:f>
        <x:v>0.015624074074074077</x:v>
      </x:c>
      <x:c r="P56" s="1">
        <x:f aca="0">$J56*P$27</x:f>
        <x:v>0.014203703703703703</x:v>
      </x:c>
      <x:c r="Q56" s="1">
        <x:f aca="0">$J56*Q$27</x:f>
        <x:v>0.014203703703703703</x:v>
      </x:c>
    </x:row>
    <x:row r="57" ht="13.5" hidden="0" customHeight="1"/>
    <x:row r="58" ht="13.5" hidden="0" customHeight="1"/>
    <x:row r="59" ht="13.5" hidden="0" customHeight="1"/>
    <x:row r="60" ht="13.5" hidden="0" customHeight="1"/>
    <x:row r="61" ht="13.5" hidden="0" customHeight="1"/>
    <x:row r="62" ht="13.5" hidden="0" customHeight="1"/>
    <x:row r="63" ht="13.5" hidden="0" customHeight="1"/>
    <x:row r="64" ht="13.5" hidden="0" customHeight="1"/>
    <x:row r="65" ht="13.5" hidden="0" customHeight="1"/>
    <x:row r="66" ht="13.5" hidden="0" customHeight="1"/>
    <x:row r="67" ht="13.5" hidden="0" customHeight="1"/>
    <x:row r="68" ht="13.5" hidden="0" customHeight="1"/>
    <x:row r="69" ht="13.5" hidden="0" customHeight="1"/>
    <x:row r="70" ht="13.5" hidden="0" customHeight="1"/>
    <x:row r="71" ht="13.5" hidden="0" customHeight="1"/>
    <x:row r="72" ht="13.5" hidden="0" customHeight="1"/>
    <x:row r="73" ht="13.5" hidden="0" customHeight="1"/>
    <x:row r="74" ht="13.5" hidden="0" customHeight="1"/>
    <x:row r="75" ht="13.5" hidden="0" customHeight="1"/>
    <x:row r="76" ht="13.5" hidden="0" customHeight="1"/>
    <x:row r="77" ht="13.5" hidden="0" customHeight="1"/>
    <x:row r="78" ht="13.5" hidden="0" customHeight="1"/>
    <x:row r="79" ht="13.5" hidden="0" customHeight="1"/>
    <x:row r="80" ht="13.5" hidden="0" customHeight="1"/>
    <x:row r="81" ht="13.5" hidden="0" customHeight="1"/>
    <x:row r="82" ht="13.5" hidden="0" customHeight="1"/>
    <x:row r="83" ht="13.5" hidden="0" customHeight="1"/>
    <x:row r="84" ht="13.5" hidden="0" customHeight="1"/>
    <x:row r="85" ht="13.5" hidden="0" customHeight="1"/>
    <x:row r="86" ht="13.5" hidden="0" customHeight="1"/>
    <x:row r="87" ht="13.5" hidden="0" customHeight="1"/>
    <x:row r="88" ht="13.5" hidden="0" customHeight="1"/>
    <x:row r="89" ht="13.5" hidden="0" customHeight="1"/>
    <x:row r="90" ht="13.5" hidden="0" customHeight="1"/>
    <x:row r="91" ht="13.5" hidden="0" customHeight="1"/>
    <x:row r="92" ht="13.5" hidden="0" customHeight="1"/>
    <x:row r="93" ht="13.5" hidden="0" customHeight="1"/>
    <x:row r="94" ht="13.5" hidden="0" customHeight="1"/>
    <x:row r="95" ht="13.5" hidden="0" customHeight="1"/>
    <x:row r="96" ht="13.5" hidden="0" customHeight="1"/>
    <x:row r="97" ht="13.5" hidden="0" customHeight="1"/>
    <x:row r="98" ht="13.5" hidden="0" customHeight="1"/>
    <x:row r="99" ht="13.5" hidden="0" customHeight="1"/>
    <x:row r="100" ht="13.5" hidden="0" customHeight="1">
      <x:c r="J100" s="1" t="s">
        <x:v>566</x:v>
      </x:c>
      <x:c r="K100" s="1" t="s">
        <x:v>1186</x:v>
      </x:c>
      <x:c r="L100" s="1" t="s">
        <x:v>1187</x:v>
      </x:c>
      <x:c r="M100" s="1" t="s">
        <x:v>1188</x:v>
      </x:c>
      <x:c r="N100" s="1" t="s">
        <x:v>1189</x:v>
      </x:c>
      <x:c r="O100" s="1" t="s">
        <x:v>1190</x:v>
      </x:c>
    </x:row>
    <x:row r="101" ht="13.5" hidden="0" customHeight="1">
      <x:c r="J101" s="1" t="str">
        <x:f aca="0">TRC!B15</x:f>
        <x:v>S06</x:v>
      </x:c>
      <x:c r="K101" s="1" t="n">
        <x:f aca="0">TRC!D15</x:f>
        <x:v>0.03</x:v>
      </x:c>
      <x:c r="L101" s="1" t="n">
        <x:f aca="0">IF(OR(J101="S06",J101="S04",J101="S03"),1.2,1)</x:f>
        <x:v>1.2</x:v>
      </x:c>
      <x:c r="M101" s="1">
        <x:f aca="0">K101*L101/SUMPRODUCT($K$101:$K$107,$L$101:$L$107)</x:f>
        <x:v>0.03474903474903474</x:v>
      </x:c>
      <x:c r="N101" s="1" t="n">
        <x:f aca="0">IF(OR(J101="S06",J101="S04",J101="S03"),0.8,1)</x:f>
        <x:v>0.8</x:v>
      </x:c>
      <x:c r="O101" s="1">
        <x:f aca="0">K101*N101/SUMPRODUCT($K$101:$K$107,$N$101:$N$107)</x:f>
        <x:v>0.024896265560165977</x:v>
      </x:c>
    </x:row>
    <x:row r="102" ht="13.5" hidden="0" customHeight="1">
      <x:c r="J102" s="1" t="str">
        <x:f aca="0">TRC!B16</x:f>
        <x:v>S04</x:v>
      </x:c>
      <x:c r="K102" s="1" t="n">
        <x:f aca="0">TRC!D16</x:f>
        <x:v>0.07</x:v>
      </x:c>
      <x:c r="L102" s="1" t="n">
        <x:f aca="0">IF(OR(J102="S06",J102="S04",J102="S03"),1.2,1)</x:f>
        <x:v>1.2</x:v>
      </x:c>
      <x:c r="M102" s="1">
        <x:f aca="0">K102*L102/SUMPRODUCT($K$101:$K$107,$L$101:$L$107)</x:f>
        <x:v>0.08108108108108109</x:v>
      </x:c>
      <x:c r="N102" s="1" t="n">
        <x:f aca="0">IF(OR(J102="S06",J102="S04",J102="S03"),0.8,1)</x:f>
        <x:v>0.8</x:v>
      </x:c>
      <x:c r="O102" s="1">
        <x:f aca="0">K102*N102/SUMPRODUCT($K$101:$K$107,$N$101:$N$107)</x:f>
        <x:v>0.05809128630705395</x:v>
      </x:c>
    </x:row>
    <x:row r="103" ht="13.5" hidden="0" customHeight="1">
      <x:c r="J103" s="1" t="str">
        <x:f aca="0">TRC!B17</x:f>
        <x:v>S03</x:v>
      </x:c>
      <x:c r="K103" s="1" t="n">
        <x:f aca="0">TRC!D17</x:f>
        <x:v>0.08</x:v>
      </x:c>
      <x:c r="L103" s="1" t="n">
        <x:f aca="0">IF(OR(J103="S06",J103="S04",J103="S03"),1.2,1)</x:f>
        <x:v>1.2</x:v>
      </x:c>
      <x:c r="M103" s="1">
        <x:f aca="0">K103*L103/SUMPRODUCT($K$101:$K$107,$L$101:$L$107)</x:f>
        <x:v>0.09266409266409266</x:v>
      </x:c>
      <x:c r="N103" s="1" t="n">
        <x:f aca="0">IF(OR(J103="S06",J103="S04",J103="S03"),0.8,1)</x:f>
        <x:v>0.8</x:v>
      </x:c>
      <x:c r="O103" s="1">
        <x:f aca="0">K103*N103/SUMPRODUCT($K$101:$K$107,$N$101:$N$107)</x:f>
        <x:v>0.06639004149377593</x:v>
      </x:c>
    </x:row>
    <x:row r="104" ht="13.5" hidden="0" customHeight="1">
      <x:c r="J104" s="1" t="str">
        <x:f aca="0">TRC!B18</x:f>
        <x:v>S05</x:v>
      </x:c>
      <x:c r="K104" s="1" t="n">
        <x:f aca="0">TRC!D18</x:f>
        <x:v>0.05</x:v>
      </x:c>
      <x:c r="L104" s="1" t="n">
        <x:f aca="0">IF(OR(J104="S06",J104="S04",J104="S03"),1.2,1)</x:f>
        <x:v>1</x:v>
      </x:c>
      <x:c r="M104" s="1">
        <x:f aca="0">K104*L104/SUMPRODUCT($K$101:$K$107,$L$101:$L$107)</x:f>
        <x:v>0.04826254826254826</x:v>
      </x:c>
      <x:c r="N104" s="1" t="n">
        <x:f aca="0">IF(OR(J104="S06",J104="S04",J104="S03"),0.8,1)</x:f>
        <x:v>1</x:v>
      </x:c>
      <x:c r="O104" s="1">
        <x:f aca="0">K104*N104/SUMPRODUCT($K$101:$K$107,$N$101:$N$107)</x:f>
        <x:v>0.05186721991701245</x:v>
      </x:c>
    </x:row>
    <x:row r="105" ht="13.5" hidden="0" customHeight="1">
      <x:c r="J105" s="1" t="str">
        <x:f aca="0">TRC!B19</x:f>
        <x:v>S07</x:v>
      </x:c>
      <x:c r="K105" s="1" t="n">
        <x:f aca="0">TRC!D19</x:f>
        <x:v>0.02</x:v>
      </x:c>
      <x:c r="L105" s="1" t="n">
        <x:f aca="0">IF(OR(J105="S06",J105="S04",J105="S03"),1.2,1)</x:f>
        <x:v>1</x:v>
      </x:c>
      <x:c r="M105" s="1">
        <x:f aca="0">K105*L105/SUMPRODUCT($K$101:$K$107,$L$101:$L$107)</x:f>
        <x:v>0.019305019305019305</x:v>
      </x:c>
      <x:c r="N105" s="1" t="n">
        <x:f aca="0">IF(OR(J105="S06",J105="S04",J105="S03"),0.8,1)</x:f>
        <x:v>1</x:v>
      </x:c>
      <x:c r="O105" s="1">
        <x:f aca="0">K105*N105/SUMPRODUCT($K$101:$K$107,$N$101:$N$107)</x:f>
        <x:v>0.020746887966804982</x:v>
      </x:c>
    </x:row>
    <x:row r="106" ht="13.5" hidden="0" customHeight="1">
      <x:c r="J106" s="1" t="str">
        <x:f aca="0">TRC!B20</x:f>
        <x:v>S02</x:v>
      </x:c>
      <x:c r="K106" s="1" t="n">
        <x:f aca="0">TRC!D20</x:f>
        <x:v>0.15</x:v>
      </x:c>
      <x:c r="L106" s="1" t="n">
        <x:f aca="0">IF(OR(J106="S06",J106="S04",J106="S03"),1.2,1)</x:f>
        <x:v>1</x:v>
      </x:c>
      <x:c r="M106" s="1">
        <x:f aca="0">K106*L106/SUMPRODUCT($K$101:$K$107,$L$101:$L$107)</x:f>
        <x:v>0.14478764478764478</x:v>
      </x:c>
      <x:c r="N106" s="1" t="n">
        <x:f aca="0">IF(OR(J106="S06",J106="S04",J106="S03"),0.8,1)</x:f>
        <x:v>1</x:v>
      </x:c>
      <x:c r="O106" s="1">
        <x:f aca="0">K106*N106/SUMPRODUCT($K$101:$K$107,$N$101:$N$107)</x:f>
        <x:v>0.15560165975103735</x:v>
      </x:c>
    </x:row>
    <x:row r="107" ht="13.5" hidden="0" customHeight="1">
      <x:c r="J107" s="1" t="str">
        <x:f aca="0">TRC!B21</x:f>
        <x:v>S01</x:v>
      </x:c>
      <x:c r="K107" s="1" t="n">
        <x:f aca="0">TRC!D21</x:f>
        <x:v>0.6</x:v>
      </x:c>
      <x:c r="L107" s="1" t="n">
        <x:f aca="0">IF(OR(J107="S06",J107="S04",J107="S03"),1.2,1)</x:f>
        <x:v>1</x:v>
      </x:c>
      <x:c r="M107" s="1">
        <x:f aca="0">K107*L107/SUMPRODUCT($K$101:$K$107,$L$101:$L$107)</x:f>
        <x:v>0.5791505791505791</x:v>
      </x:c>
      <x:c r="N107" s="1" t="n">
        <x:f aca="0">IF(OR(J107="S06",J107="S04",J107="S03"),0.8,1)</x:f>
        <x:v>1</x:v>
      </x:c>
      <x:c r="O107" s="1">
        <x:f aca="0">K107*N107/SUMPRODUCT($K$101:$K$107,$N$101:$N$107)</x:f>
        <x:v>0.6224066390041494</x:v>
      </x:c>
    </x:row>
    <x:row r="108" ht="13.5" hidden="0" customHeight="1"/>
    <x:row r="109" ht="13.5" hidden="0" customHeight="1">
      <x:c r="J109" s="1" t="s">
        <x:v>1191</x:v>
      </x:c>
    </x:row>
    <x:row r="110" ht="13.5" hidden="0" customHeight="1">
      <x:c r="J110" s="1" t="s">
        <x:v>636</x:v>
      </x:c>
      <x:c r="K110" s="1" t="s">
        <x:v>566</x:v>
      </x:c>
      <x:c r="L110" s="1" t="s">
        <x:v>568</x:v>
      </x:c>
      <x:c r="M110" s="1" t="s">
        <x:v>1192</x:v>
      </x:c>
      <x:c r="N110" s="1" t="s">
        <x:v>639</x:v>
      </x:c>
      <x:c r="O110" s="1" t="s">
        <x:v>640</x:v>
      </x:c>
      <x:c r="P110" s="1" t="s">
        <x:v>516</x:v>
      </x:c>
      <x:c r="R110" s="1" t="s">
        <x:v>1193</x:v>
      </x:c>
      <x:c r="S110" s="1" t="n">
        <x:f aca="0">TRC!B8</x:f>
        <x:v>0.05</x:v>
      </x:c>
    </x:row>
    <x:row r="111" ht="13.5" hidden="0" customHeight="1">
      <x:c r="J111" s="1" t="n">
        <x:v>1</x:v>
      </x:c>
      <x:c r="K111" s="1" t="str">
        <x:f aca="0">TRC!B15</x:f>
        <x:v>S06</x:v>
      </x:c>
      <x:c r="L111" s="1" t="n">
        <x:f aca="0">TRC!C15</x:f>
        <x:v>0.0235</x:v>
      </x:c>
      <x:c r="M111" s="1">
        <x:f aca="0">VLOOKUP(K111,$J$101:$M$107,4,FALSE())</x:f>
        <x:v>0.03474903474903474</x:v>
      </x:c>
      <x:c r="N111" s="1">
        <x:f aca="0">M111</x:f>
        <x:v>0.03474903474903474</x:v>
      </x:c>
      <x:c r="O111" s="1">
        <x:f aca="0">MIN(M111,$S$110)</x:f>
        <x:v>0.03474903474903474</x:v>
      </x:c>
      <x:c r="P111" s="1">
        <x:f aca="0">O111*L111</x:f>
        <x:v>0.0008166023166023165</x:v>
      </x:c>
      <x:c r="R111" s="1" t="s">
        <x:v>925</x:v>
      </x:c>
      <x:c r="S111" s="1" t="n">
        <x:f aca="0">TRC!B9</x:f>
        <x:v>0.2</x:v>
      </x:c>
    </x:row>
    <x:row r="112" ht="13.5" hidden="0" customHeight="1">
      <x:c r="J112" s="1" t="n">
        <x:v>2</x:v>
      </x:c>
      <x:c r="K112" s="1" t="str">
        <x:f aca="0">TRC!B16</x:f>
        <x:v>S04</x:v>
      </x:c>
      <x:c r="L112" s="1" t="n">
        <x:f aca="0">TRC!C16</x:f>
        <x:v>0.0195</x:v>
      </x:c>
      <x:c r="M112" s="1">
        <x:f aca="0">VLOOKUP(K112,$J$101:$M$107,4,FALSE())</x:f>
        <x:v>0.08108108108108109</x:v>
      </x:c>
      <x:c r="N112" s="1">
        <x:f aca="0">N111+M112</x:f>
        <x:v>0.11583011583011582</x:v>
      </x:c>
      <x:c r="O112" s="1">
        <x:f aca="0">MAX(0,MIN(M112,$S$110-N111))</x:f>
        <x:v>0.01525096525096526</x:v>
      </x:c>
      <x:c r="P112" s="1">
        <x:f aca="0">O112*L112</x:f>
        <x:v>0.0002973938223938226</x:v>
      </x:c>
    </x:row>
    <x:row r="113" ht="13.5" hidden="0" customHeight="1">
      <x:c r="J113" s="1" t="n">
        <x:v>3</x:v>
      </x:c>
      <x:c r="K113" s="1" t="str">
        <x:f aca="0">TRC!B17</x:f>
        <x:v>S03</x:v>
      </x:c>
      <x:c r="L113" s="1" t="n">
        <x:f aca="0">TRC!C17</x:f>
        <x:v>0.0175</x:v>
      </x:c>
      <x:c r="M113" s="1">
        <x:f aca="0">VLOOKUP(K113,$J$101:$M$107,4,FALSE())</x:f>
        <x:v>0.09266409266409266</x:v>
      </x:c>
      <x:c r="N113" s="1">
        <x:f aca="0">N112+M113</x:f>
        <x:v>0.20849420849420847</x:v>
      </x:c>
      <x:c r="O113" s="1" t="n">
        <x:f aca="0">MAX(0,MIN(M113,$S$110-N112))</x:f>
        <x:v>0</x:v>
      </x:c>
      <x:c r="P113" s="1" t="n">
        <x:f aca="0">O113*L113</x:f>
        <x:v>0</x:v>
      </x:c>
    </x:row>
    <x:row r="114" ht="13.5" hidden="0" customHeight="1">
      <x:c r="J114" s="1" t="n">
        <x:v>4</x:v>
      </x:c>
      <x:c r="K114" s="1" t="str">
        <x:f aca="0">TRC!B18</x:f>
        <x:v>S05</x:v>
      </x:c>
      <x:c r="L114" s="1" t="n">
        <x:f aca="0">TRC!C18</x:f>
        <x:v>0.0135</x:v>
      </x:c>
      <x:c r="M114" s="1">
        <x:f aca="0">VLOOKUP(K114,$J$101:$M$107,4,FALSE())</x:f>
        <x:v>0.04826254826254826</x:v>
      </x:c>
      <x:c r="N114" s="1">
        <x:f aca="0">N113+M114</x:f>
        <x:v>0.25675675675675674</x:v>
      </x:c>
      <x:c r="O114" s="1" t="n">
        <x:f aca="0">MAX(0,MIN(M114,$S$110-N113))</x:f>
        <x:v>0</x:v>
      </x:c>
      <x:c r="P114" s="1" t="n">
        <x:f aca="0">O114*L114</x:f>
        <x:v>0</x:v>
      </x:c>
    </x:row>
    <x:row r="115" ht="13.5" hidden="0" customHeight="1">
      <x:c r="J115" s="1" t="n">
        <x:v>5</x:v>
      </x:c>
      <x:c r="K115" s="1" t="str">
        <x:f aca="0">TRC!B19</x:f>
        <x:v>S07</x:v>
      </x:c>
      <x:c r="L115" s="1" t="n">
        <x:f aca="0">TRC!C19</x:f>
        <x:v>0.01</x:v>
      </x:c>
      <x:c r="M115" s="1">
        <x:f aca="0">VLOOKUP(K115,$J$101:$M$107,4,FALSE())</x:f>
        <x:v>0.019305019305019305</x:v>
      </x:c>
      <x:c r="N115" s="1">
        <x:f aca="0">N114+M115</x:f>
        <x:v>0.27606177606177607</x:v>
      </x:c>
      <x:c r="O115" s="1" t="n">
        <x:f aca="0">MAX(0,MIN(M115,$S$110-N114))</x:f>
        <x:v>0</x:v>
      </x:c>
      <x:c r="P115" s="1" t="n">
        <x:f aca="0">O115*L115</x:f>
        <x:v>0</x:v>
      </x:c>
    </x:row>
    <x:row r="116" ht="13.5" hidden="0" customHeight="1">
      <x:c r="J116" s="1" t="n">
        <x:v>6</x:v>
      </x:c>
      <x:c r="K116" s="1" t="str">
        <x:f aca="0">TRC!B20</x:f>
        <x:v>S02</x:v>
      </x:c>
      <x:c r="L116" s="1" t="n">
        <x:f aca="0">TRC!C20</x:f>
        <x:v>0.007</x:v>
      </x:c>
      <x:c r="M116" s="1">
        <x:f aca="0">VLOOKUP(K116,$J$101:$M$107,4,FALSE())</x:f>
        <x:v>0.14478764478764478</x:v>
      </x:c>
      <x:c r="N116" s="1">
        <x:f aca="0">N115+M116</x:f>
        <x:v>0.42084942084942084</x:v>
      </x:c>
      <x:c r="O116" s="1" t="n">
        <x:f aca="0">MAX(0,MIN(M116,$S$110-N115))</x:f>
        <x:v>0</x:v>
      </x:c>
      <x:c r="P116" s="1" t="n">
        <x:f aca="0">O116*L116</x:f>
        <x:v>0</x:v>
      </x:c>
    </x:row>
    <x:row r="117" ht="13.5" hidden="0" customHeight="1">
      <x:c r="J117" s="1" t="n">
        <x:v>7</x:v>
      </x:c>
      <x:c r="K117" s="1" t="str">
        <x:f aca="0">TRC!B21</x:f>
        <x:v>S01</x:v>
      </x:c>
      <x:c r="L117" s="1" t="n">
        <x:f aca="0">TRC!C21</x:f>
        <x:v>0</x:v>
      </x:c>
      <x:c r="M117" s="1">
        <x:f aca="0">VLOOKUP(K117,$J$101:$M$107,4,FALSE())</x:f>
        <x:v>0.5791505791505791</x:v>
      </x:c>
      <x:c r="N117" s="1" t="n">
        <x:f aca="0">N116+M117</x:f>
        <x:v>1</x:v>
      </x:c>
      <x:c r="O117" s="1" t="n">
        <x:f aca="0">MAX(0,MIN(M117,$S$110-N116))</x:f>
        <x:v>0</x:v>
      </x:c>
      <x:c r="P117" s="1" t="n">
        <x:f aca="0">O117*L117</x:f>
        <x:v>0</x:v>
      </x:c>
    </x:row>
    <x:row r="118" ht="13.5" hidden="0" customHeight="1"/>
    <x:row r="119" ht="13.5" hidden="0" customHeight="1">
      <x:c r="R119" s="1" t="s">
        <x:v>1194</x:v>
      </x:c>
      <x:c r="S119" s="1">
        <x:f aca="0">SUM(P111:P117)/$S$110</x:f>
        <x:v>0.022279922779922783</x:v>
      </x:c>
    </x:row>
    <x:row r="120" ht="13.5" hidden="0" customHeight="1">
      <x:c r="R120" s="1" t="s">
        <x:v>1195</x:v>
      </x:c>
      <x:c r="S120" s="1" t="str">
        <x:f aca="0">IF(S119&lt;=$S$111,"PASS","FAIL")</x:f>
        <x:v>PASS</x:v>
      </x:c>
    </x:row>
    <x:row r="121" ht="13.5" hidden="0" customHeight="1">
      <x:c r="M121" s="1" t="s">
        <x:v>1196</x:v>
      </x:c>
      <x:c r="N121" s="1" t="s">
        <x:v>524</x:v>
      </x:c>
      <x:c r="O121" s="1" t="s">
        <x:v>547</x:v>
      </x:c>
    </x:row>
    <x:row r="122" ht="13.5" hidden="0" customHeight="1">
      <x:c r="M122" s="1" t="s">
        <x:v>1197</x:v>
      </x:c>
      <x:c r="N122" s="1" t="str">
        <x:f aca="0">S120</x:f>
        <x:v>PASS</x:v>
      </x:c>
      <x:c r="O122" s="1" t="str">
        <x:f aca="0">S142</x:f>
        <x:v>PASS</x:v>
      </x:c>
    </x:row>
    <x:row r="123" ht="13.5" hidden="0" customHeight="1">
      <x:c r="N123" s="1" t="str">
        <x:f aca="0">S162</x:f>
        <x:v>PASS</x:v>
      </x:c>
      <x:c r="O123" s="1" t="str">
        <x:f aca="0">S175</x:f>
        <x:v>PASS</x:v>
      </x:c>
    </x:row>
    <x:row r="124" ht="13.5" hidden="0" customHeight="1"/>
    <x:row r="125" ht="13.5" hidden="0" customHeight="1"/>
    <x:row r="126" ht="13.5" hidden="0" customHeight="1"/>
    <x:row r="127" ht="13.5" hidden="0" customHeight="1"/>
    <x:row r="128" ht="13.5" hidden="0" customHeight="1"/>
    <x:row r="129" ht="13.5" hidden="0" customHeight="1"/>
    <x:row r="130" ht="13.5" hidden="0" customHeight="1"/>
    <x:row r="131" ht="13.5" hidden="0" customHeight="1">
      <x:c r="J131" s="1" t="s">
        <x:v>1198</x:v>
      </x:c>
    </x:row>
    <x:row r="132" ht="13.5" hidden="0" customHeight="1">
      <x:c r="J132" s="1" t="s">
        <x:v>636</x:v>
      </x:c>
      <x:c r="K132" s="1" t="s">
        <x:v>566</x:v>
      </x:c>
      <x:c r="L132" s="1" t="s">
        <x:v>568</x:v>
      </x:c>
      <x:c r="M132" s="1" t="s">
        <x:v>1192</x:v>
      </x:c>
      <x:c r="N132" s="1" t="s">
        <x:v>639</x:v>
      </x:c>
      <x:c r="O132" s="1" t="s">
        <x:v>640</x:v>
      </x:c>
      <x:c r="P132" s="1" t="s">
        <x:v>516</x:v>
      </x:c>
    </x:row>
    <x:row r="133" ht="13.5" hidden="0" customHeight="1">
      <x:c r="J133" s="1" t="n">
        <x:v>1</x:v>
      </x:c>
      <x:c r="K133" s="1" t="str">
        <x:f aca="0">TRC!B31</x:f>
        <x:v>S03</x:v>
      </x:c>
      <x:c r="L133" s="1" t="n">
        <x:f aca="0">TRC!C31</x:f>
        <x:v>0.0315</x:v>
      </x:c>
      <x:c r="M133" s="1">
        <x:f aca="0">VLOOKUP(K133,$J$101:$M$107,4,FALSE())</x:f>
        <x:v>0.09266409266409266</x:v>
      </x:c>
      <x:c r="N133" s="1">
        <x:f aca="0">M133</x:f>
        <x:v>0.09266409266409266</x:v>
      </x:c>
      <x:c r="O133" s="1" t="n">
        <x:f aca="0">MIN(M133,$S$110)</x:f>
        <x:v>0.05</x:v>
      </x:c>
      <x:c r="P133" s="1" t="n">
        <x:f aca="0">O133*L133</x:f>
        <x:v>0.001575</x:v>
      </x:c>
    </x:row>
    <x:row r="134" ht="13.5" hidden="0" customHeight="1">
      <x:c r="J134" s="1" t="n">
        <x:v>2</x:v>
      </x:c>
      <x:c r="K134" s="1" t="str">
        <x:f aca="0">TRC!B32</x:f>
        <x:v>S04</x:v>
      </x:c>
      <x:c r="L134" s="1" t="n">
        <x:f aca="0">TRC!C32</x:f>
        <x:v>0.0235</x:v>
      </x:c>
      <x:c r="M134" s="1">
        <x:f aca="0">VLOOKUP(K134,$J$101:$M$107,4,FALSE())</x:f>
        <x:v>0.08108108108108109</x:v>
      </x:c>
      <x:c r="N134" s="1">
        <x:f aca="0">N133+M134</x:f>
        <x:v>0.17374517374517373</x:v>
      </x:c>
      <x:c r="O134" s="1" t="n">
        <x:f aca="0">MAX(0,MIN(M134,$S$110-N133))</x:f>
        <x:v>0</x:v>
      </x:c>
      <x:c r="P134" s="1" t="n">
        <x:f aca="0">O134*L134</x:f>
        <x:v>0</x:v>
      </x:c>
    </x:row>
    <x:row r="135" ht="13.5" hidden="0" customHeight="1">
      <x:c r="J135" s="1" t="n">
        <x:v>3</x:v>
      </x:c>
      <x:c r="K135" s="1" t="str">
        <x:f aca="0">TRC!B33</x:f>
        <x:v>S06</x:v>
      </x:c>
      <x:c r="L135" s="1" t="n">
        <x:f aca="0">TRC!C33</x:f>
        <x:v>0.02175</x:v>
      </x:c>
      <x:c r="M135" s="1">
        <x:f aca="0">VLOOKUP(K135,$J$101:$M$107,4,FALSE())</x:f>
        <x:v>0.03474903474903474</x:v>
      </x:c>
      <x:c r="N135" s="1">
        <x:f aca="0">N134+M135</x:f>
        <x:v>0.20849420849420847</x:v>
      </x:c>
      <x:c r="O135" s="1" t="n">
        <x:f aca="0">MAX(0,MIN(M135,$S$110-N134))</x:f>
        <x:v>0</x:v>
      </x:c>
      <x:c r="P135" s="1" t="n">
        <x:f aca="0">O135*L135</x:f>
        <x:v>0</x:v>
      </x:c>
    </x:row>
    <x:row r="136" ht="13.5" hidden="0" customHeight="1">
      <x:c r="J136" s="1" t="n">
        <x:v>4</x:v>
      </x:c>
      <x:c r="K136" s="1" t="str">
        <x:f aca="0">TRC!B34</x:f>
        <x:v>S05</x:v>
      </x:c>
      <x:c r="L136" s="1" t="n">
        <x:f aca="0">TRC!C34</x:f>
        <x:v>0.0135</x:v>
      </x:c>
      <x:c r="M136" s="1">
        <x:f aca="0">VLOOKUP(K136,$J$101:$M$107,4,FALSE())</x:f>
        <x:v>0.04826254826254826</x:v>
      </x:c>
      <x:c r="N136" s="1">
        <x:f aca="0">N135+M136</x:f>
        <x:v>0.25675675675675674</x:v>
      </x:c>
      <x:c r="O136" s="1" t="n">
        <x:f aca="0">MAX(0,MIN(M136,$S$110-N135))</x:f>
        <x:v>0</x:v>
      </x:c>
      <x:c r="P136" s="1" t="n">
        <x:f aca="0">O136*L136</x:f>
        <x:v>0</x:v>
      </x:c>
    </x:row>
    <x:row r="137" ht="13.5" hidden="0" customHeight="1">
      <x:c r="J137" s="1" t="n">
        <x:v>5</x:v>
      </x:c>
      <x:c r="K137" s="1" t="str">
        <x:f aca="0">TRC!B35</x:f>
        <x:v>S02</x:v>
      </x:c>
      <x:c r="L137" s="1" t="n">
        <x:f aca="0">TRC!C35</x:f>
        <x:v>0.0105</x:v>
      </x:c>
      <x:c r="M137" s="1">
        <x:f aca="0">VLOOKUP(K137,$J$101:$M$107,4,FALSE())</x:f>
        <x:v>0.14478764478764478</x:v>
      </x:c>
      <x:c r="N137" s="1">
        <x:f aca="0">N136+M137</x:f>
        <x:v>0.4015444015444015</x:v>
      </x:c>
      <x:c r="O137" s="1" t="n">
        <x:f aca="0">MAX(0,MIN(M137,$S$110-N136))</x:f>
        <x:v>0</x:v>
      </x:c>
      <x:c r="P137" s="1" t="n">
        <x:f aca="0">O137*L137</x:f>
        <x:v>0</x:v>
      </x:c>
    </x:row>
    <x:row r="138" ht="13.5" hidden="0" customHeight="1">
      <x:c r="J138" s="1" t="n">
        <x:v>6</x:v>
      </x:c>
      <x:c r="K138" s="1" t="str">
        <x:f aca="0">TRC!B36</x:f>
        <x:v>S07</x:v>
      </x:c>
      <x:c r="L138" s="1" t="n">
        <x:f aca="0">TRC!C36</x:f>
        <x:v>0.007</x:v>
      </x:c>
      <x:c r="M138" s="1">
        <x:f aca="0">VLOOKUP(K138,$J$101:$M$107,4,FALSE())</x:f>
        <x:v>0.019305019305019305</x:v>
      </x:c>
      <x:c r="N138" s="1">
        <x:f aca="0">N137+M138</x:f>
        <x:v>0.42084942084942084</x:v>
      </x:c>
      <x:c r="O138" s="1" t="n">
        <x:f aca="0">MAX(0,MIN(M138,$S$110-N137))</x:f>
        <x:v>0</x:v>
      </x:c>
      <x:c r="P138" s="1" t="n">
        <x:f aca="0">O138*L138</x:f>
        <x:v>0</x:v>
      </x:c>
    </x:row>
    <x:row r="139" ht="13.5" hidden="0" customHeight="1">
      <x:c r="J139" s="1" t="n">
        <x:v>7</x:v>
      </x:c>
      <x:c r="K139" s="1" t="str">
        <x:f aca="0">TRC!B37</x:f>
        <x:v>S01</x:v>
      </x:c>
      <x:c r="L139" s="1" t="n">
        <x:f aca="0">TRC!C37</x:f>
        <x:v>0.003574</x:v>
      </x:c>
      <x:c r="M139" s="1">
        <x:f aca="0">VLOOKUP(K139,$J$101:$M$107,4,FALSE())</x:f>
        <x:v>0.5791505791505791</x:v>
      </x:c>
      <x:c r="N139" s="1" t="n">
        <x:f aca="0">N138+M139</x:f>
        <x:v>1</x:v>
      </x:c>
      <x:c r="O139" s="1" t="n">
        <x:f aca="0">MAX(0,MIN(M139,$S$110-N138))</x:f>
        <x:v>0</x:v>
      </x:c>
      <x:c r="P139" s="1" t="n">
        <x:f aca="0">O139*L139</x:f>
        <x:v>0</x:v>
      </x:c>
    </x:row>
    <x:row r="140" ht="13.5" hidden="0" customHeight="1"/>
    <x:row r="141" ht="13.5" hidden="0" customHeight="1">
      <x:c r="R141" s="1" t="s">
        <x:v>1199</x:v>
      </x:c>
      <x:c r="S141" s="1" t="n">
        <x:f aca="0">SUM(P133:P139)/$S$110</x:f>
        <x:v>0.0315</x:v>
      </x:c>
    </x:row>
    <x:row r="142" ht="13.5" hidden="0" customHeight="1">
      <x:c r="R142" s="1" t="s">
        <x:v>1200</x:v>
      </x:c>
      <x:c r="S142" s="1" t="str">
        <x:f aca="0">IF(S141&lt;=$S$111,"PASS","FAIL")</x:f>
        <x:v>PASS</x:v>
      </x:c>
    </x:row>
    <x:row r="143" ht="13.5" hidden="0" customHeight="1"/>
    <x:row r="144" ht="13.5" hidden="0" customHeight="1"/>
    <x:row r="145" ht="13.5" hidden="0" customHeight="1"/>
    <x:row r="146" ht="13.5" hidden="0" customHeight="1"/>
    <x:row r="147" ht="13.5" hidden="0" customHeight="1"/>
    <x:row r="148" ht="13.5" hidden="0" customHeight="1"/>
    <x:row r="149" ht="13.5" hidden="0" customHeight="1"/>
    <x:row r="150" ht="13.5" hidden="0" customHeight="1"/>
    <x:row r="151" ht="13.5" hidden="0" customHeight="1">
      <x:c r="J151" s="1" t="s">
        <x:v>1201</x:v>
      </x:c>
    </x:row>
    <x:row r="152" ht="13.5" hidden="0" customHeight="1">
      <x:c r="J152" s="1" t="s">
        <x:v>636</x:v>
      </x:c>
      <x:c r="K152" s="1" t="s">
        <x:v>566</x:v>
      </x:c>
      <x:c r="L152" s="1" t="s">
        <x:v>568</x:v>
      </x:c>
      <x:c r="M152" s="1" t="s">
        <x:v>1192</x:v>
      </x:c>
      <x:c r="N152" s="1" t="s">
        <x:v>639</x:v>
      </x:c>
      <x:c r="O152" s="1" t="s">
        <x:v>640</x:v>
      </x:c>
      <x:c r="P152" s="1" t="s">
        <x:v>516</x:v>
      </x:c>
    </x:row>
    <x:row r="153" ht="13.5" hidden="0" customHeight="1">
      <x:c r="J153" s="1" t="n">
        <x:v>1</x:v>
      </x:c>
      <x:c r="K153" s="1" t="str">
        <x:f aca="0">TRC!B15</x:f>
        <x:v>S06</x:v>
      </x:c>
      <x:c r="L153" s="1" t="n">
        <x:f aca="0">TRC!C15</x:f>
        <x:v>0.0235</x:v>
      </x:c>
      <x:c r="M153" s="1">
        <x:f aca="0">VLOOKUP(K153,$J$101:$O$107,6,FALSE())</x:f>
        <x:v>0.024896265560165977</x:v>
      </x:c>
      <x:c r="N153" s="1">
        <x:f aca="0">M153</x:f>
        <x:v>0.024896265560165977</x:v>
      </x:c>
      <x:c r="O153" s="1">
        <x:f aca="0">MIN(M153,$S$110)</x:f>
        <x:v>0.024896265560165977</x:v>
      </x:c>
      <x:c r="P153" s="1">
        <x:f aca="0">O153*L153</x:f>
        <x:v>0.0005850622406639005</x:v>
      </x:c>
    </x:row>
    <x:row r="154" ht="13.5" hidden="0" customHeight="1">
      <x:c r="J154" s="1" t="n">
        <x:v>2</x:v>
      </x:c>
      <x:c r="K154" s="1" t="str">
        <x:f aca="0">TRC!B16</x:f>
        <x:v>S04</x:v>
      </x:c>
      <x:c r="L154" s="1" t="n">
        <x:f aca="0">TRC!C16</x:f>
        <x:v>0.0195</x:v>
      </x:c>
      <x:c r="M154" s="1">
        <x:f aca="0">VLOOKUP(K154,$J$101:$O$107,6,FALSE())</x:f>
        <x:v>0.05809128630705395</x:v>
      </x:c>
      <x:c r="N154" s="1">
        <x:f aca="0">N153+M154</x:f>
        <x:v>0.08298755186721993</x:v>
      </x:c>
      <x:c r="O154" s="1">
        <x:f aca="0">MAX(0,MIN(M154,$S$110-N153))</x:f>
        <x:v>0.025103734439834026</x:v>
      </x:c>
      <x:c r="P154" s="1">
        <x:f aca="0">O154*L154</x:f>
        <x:v>0.0004895228215767635</x:v>
      </x:c>
    </x:row>
    <x:row r="155" ht="13.5" hidden="0" customHeight="1">
      <x:c r="J155" s="1" t="n">
        <x:v>3</x:v>
      </x:c>
      <x:c r="K155" s="1" t="str">
        <x:f aca="0">TRC!B17</x:f>
        <x:v>S03</x:v>
      </x:c>
      <x:c r="L155" s="1" t="n">
        <x:f aca="0">TRC!C17</x:f>
        <x:v>0.0175</x:v>
      </x:c>
      <x:c r="M155" s="1">
        <x:f aca="0">VLOOKUP(K155,$J$101:$O$107,6,FALSE())</x:f>
        <x:v>0.06639004149377593</x:v>
      </x:c>
      <x:c r="N155" s="1">
        <x:f aca="0">N154+M155</x:f>
        <x:v>0.14937759336099588</x:v>
      </x:c>
      <x:c r="O155" s="1" t="n">
        <x:f aca="0">MAX(0,MIN(M155,$S$110-N154))</x:f>
        <x:v>0</x:v>
      </x:c>
      <x:c r="P155" s="1" t="n">
        <x:f aca="0">O155*L155</x:f>
        <x:v>0</x:v>
      </x:c>
    </x:row>
    <x:row r="156" ht="13.5" hidden="0" customHeight="1">
      <x:c r="J156" s="1" t="n">
        <x:v>4</x:v>
      </x:c>
      <x:c r="K156" s="1" t="str">
        <x:f aca="0">TRC!B18</x:f>
        <x:v>S05</x:v>
      </x:c>
      <x:c r="L156" s="1" t="n">
        <x:f aca="0">TRC!C18</x:f>
        <x:v>0.0135</x:v>
      </x:c>
      <x:c r="M156" s="1">
        <x:f aca="0">VLOOKUP(K156,$J$101:$O$107,6,FALSE())</x:f>
        <x:v>0.05186721991701245</x:v>
      </x:c>
      <x:c r="N156" s="1">
        <x:f aca="0">N155+M156</x:f>
        <x:v>0.20124481327800833</x:v>
      </x:c>
      <x:c r="O156" s="1" t="n">
        <x:f aca="0">MAX(0,MIN(M156,$S$110-N155))</x:f>
        <x:v>0</x:v>
      </x:c>
      <x:c r="P156" s="1" t="n">
        <x:f aca="0">O156*L156</x:f>
        <x:v>0</x:v>
      </x:c>
    </x:row>
    <x:row r="157" ht="13.5" hidden="0" customHeight="1">
      <x:c r="J157" s="1" t="n">
        <x:v>5</x:v>
      </x:c>
      <x:c r="K157" s="1" t="str">
        <x:f aca="0">TRC!B19</x:f>
        <x:v>S07</x:v>
      </x:c>
      <x:c r="L157" s="1" t="n">
        <x:f aca="0">TRC!C19</x:f>
        <x:v>0.01</x:v>
      </x:c>
      <x:c r="M157" s="1">
        <x:f aca="0">VLOOKUP(K157,$J$101:$O$107,6,FALSE())</x:f>
        <x:v>0.020746887966804982</x:v>
      </x:c>
      <x:c r="N157" s="1">
        <x:f aca="0">N156+M157</x:f>
        <x:v>0.22199170124481332</x:v>
      </x:c>
      <x:c r="O157" s="1" t="n">
        <x:f aca="0">MAX(0,MIN(M157,$S$110-N156))</x:f>
        <x:v>0</x:v>
      </x:c>
      <x:c r="P157" s="1" t="n">
        <x:f aca="0">O157*L157</x:f>
        <x:v>0</x:v>
      </x:c>
    </x:row>
    <x:row r="158" ht="13.5" hidden="0" customHeight="1">
      <x:c r="J158" s="1" t="n">
        <x:v>6</x:v>
      </x:c>
      <x:c r="K158" s="1" t="str">
        <x:f aca="0">TRC!B20</x:f>
        <x:v>S02</x:v>
      </x:c>
      <x:c r="L158" s="1" t="n">
        <x:f aca="0">TRC!C20</x:f>
        <x:v>0.007</x:v>
      </x:c>
      <x:c r="M158" s="1">
        <x:f aca="0">VLOOKUP(K158,$J$101:$O$107,6,FALSE())</x:f>
        <x:v>0.15560165975103735</x:v>
      </x:c>
      <x:c r="N158" s="1">
        <x:f aca="0">N157+M158</x:f>
        <x:v>0.37759336099585067</x:v>
      </x:c>
      <x:c r="O158" s="1" t="n">
        <x:f aca="0">MAX(0,MIN(M158,$S$110-N157))</x:f>
        <x:v>0</x:v>
      </x:c>
      <x:c r="P158" s="1" t="n">
        <x:f aca="0">O158*L158</x:f>
        <x:v>0</x:v>
      </x:c>
    </x:row>
    <x:row r="159" ht="13.5" hidden="0" customHeight="1">
      <x:c r="J159" s="1" t="n">
        <x:v>7</x:v>
      </x:c>
      <x:c r="K159" s="1" t="str">
        <x:f aca="0">TRC!B21</x:f>
        <x:v>S01</x:v>
      </x:c>
      <x:c r="L159" s="1" t="n">
        <x:f aca="0">TRC!C21</x:f>
        <x:v>0</x:v>
      </x:c>
      <x:c r="M159" s="1">
        <x:f aca="0">VLOOKUP(K159,$J$101:$O$107,6,FALSE())</x:f>
        <x:v>0.6224066390041494</x:v>
      </x:c>
      <x:c r="N159" s="1" t="n">
        <x:f aca="0">N158+M159</x:f>
        <x:v>1</x:v>
      </x:c>
      <x:c r="O159" s="1" t="n">
        <x:f aca="0">MAX(0,MIN(M159,$S$110-N158))</x:f>
        <x:v>0</x:v>
      </x:c>
      <x:c r="P159" s="1" t="n">
        <x:f aca="0">O159*L159</x:f>
        <x:v>0</x:v>
      </x:c>
    </x:row>
    <x:row r="160" ht="13.5" hidden="0" customHeight="1"/>
    <x:row r="161" ht="13.5" hidden="0" customHeight="1">
      <x:c r="R161" s="1" t="s">
        <x:v>1202</x:v>
      </x:c>
      <x:c r="S161" s="1">
        <x:f aca="0">SUM(P153:P159)/$S$110</x:f>
        <x:v>0.021491701244813276</x:v>
      </x:c>
    </x:row>
    <x:row r="162" ht="13.5" hidden="0" customHeight="1">
      <x:c r="R162" s="1" t="s">
        <x:v>1203</x:v>
      </x:c>
      <x:c r="S162" s="1" t="str">
        <x:f aca="0">IF(S161&lt;=$S$111,"PASS","FAIL")</x:f>
        <x:v>PASS</x:v>
      </x:c>
    </x:row>
    <x:row r="163" ht="13.5" hidden="0" customHeight="1"/>
    <x:row r="164" ht="13.5" hidden="0" customHeight="1">
      <x:c r="J164" s="1" t="s">
        <x:v>1204</x:v>
      </x:c>
    </x:row>
    <x:row r="165" ht="13.5" hidden="0" customHeight="1">
      <x:c r="J165" s="1" t="s">
        <x:v>636</x:v>
      </x:c>
      <x:c r="K165" s="1" t="s">
        <x:v>566</x:v>
      </x:c>
      <x:c r="L165" s="1" t="s">
        <x:v>568</x:v>
      </x:c>
      <x:c r="M165" s="1" t="s">
        <x:v>1192</x:v>
      </x:c>
      <x:c r="N165" s="1" t="s">
        <x:v>639</x:v>
      </x:c>
      <x:c r="O165" s="1" t="s">
        <x:v>640</x:v>
      </x:c>
      <x:c r="P165" s="1" t="s">
        <x:v>516</x:v>
      </x:c>
    </x:row>
    <x:row r="166" ht="13.5" hidden="0" customHeight="1">
      <x:c r="J166" s="1" t="n">
        <x:v>1</x:v>
      </x:c>
      <x:c r="K166" s="1" t="str">
        <x:f aca="0">TRC!B31</x:f>
        <x:v>S03</x:v>
      </x:c>
      <x:c r="L166" s="1" t="n">
        <x:f aca="0">TRC!C31</x:f>
        <x:v>0.0315</x:v>
      </x:c>
      <x:c r="M166" s="1">
        <x:f aca="0">VLOOKUP(K166,$J$101:$O$107,6,FALSE())</x:f>
        <x:v>0.06639004149377593</x:v>
      </x:c>
      <x:c r="N166" s="1">
        <x:f aca="0">M166</x:f>
        <x:v>0.06639004149377593</x:v>
      </x:c>
      <x:c r="O166" s="1" t="n">
        <x:f aca="0">MIN(M166,$S$110)</x:f>
        <x:v>0.05</x:v>
      </x:c>
      <x:c r="P166" s="1" t="n">
        <x:f aca="0">O166*L166</x:f>
        <x:v>0.001575</x:v>
      </x:c>
    </x:row>
    <x:row r="167" ht="13.5" hidden="0" customHeight="1">
      <x:c r="J167" s="1" t="n">
        <x:v>2</x:v>
      </x:c>
      <x:c r="K167" s="1" t="str">
        <x:f aca="0">TRC!B32</x:f>
        <x:v>S04</x:v>
      </x:c>
      <x:c r="L167" s="1" t="n">
        <x:f aca="0">TRC!C32</x:f>
        <x:v>0.0235</x:v>
      </x:c>
      <x:c r="M167" s="1">
        <x:f aca="0">VLOOKUP(K167,$J$101:$O$107,6,FALSE())</x:f>
        <x:v>0.05809128630705395</x:v>
      </x:c>
      <x:c r="N167" s="1">
        <x:f aca="0">N166+M167</x:f>
        <x:v>0.12448132780082988</x:v>
      </x:c>
      <x:c r="O167" s="1" t="n">
        <x:f aca="0">MAX(0,MIN(M167,$S$110-N166))</x:f>
        <x:v>0</x:v>
      </x:c>
      <x:c r="P167" s="1" t="n">
        <x:f aca="0">O167*L167</x:f>
        <x:v>0</x:v>
      </x:c>
    </x:row>
    <x:row r="168" ht="13.5" hidden="0" customHeight="1">
      <x:c r="J168" s="1" t="n">
        <x:v>3</x:v>
      </x:c>
      <x:c r="K168" s="1" t="str">
        <x:f aca="0">TRC!B33</x:f>
        <x:v>S06</x:v>
      </x:c>
      <x:c r="L168" s="1" t="n">
        <x:f aca="0">TRC!C33</x:f>
        <x:v>0.02175</x:v>
      </x:c>
      <x:c r="M168" s="1">
        <x:f aca="0">VLOOKUP(K168,$J$101:$O$107,6,FALSE())</x:f>
        <x:v>0.024896265560165977</x:v>
      </x:c>
      <x:c r="N168" s="1">
        <x:f aca="0">N167+M168</x:f>
        <x:v>0.14937759336099585</x:v>
      </x:c>
      <x:c r="O168" s="1" t="n">
        <x:f aca="0">MAX(0,MIN(M168,$S$110-N167))</x:f>
        <x:v>0</x:v>
      </x:c>
      <x:c r="P168" s="1" t="n">
        <x:f aca="0">O168*L168</x:f>
        <x:v>0</x:v>
      </x:c>
    </x:row>
    <x:row r="169" ht="13.5" hidden="0" customHeight="1">
      <x:c r="J169" s="1" t="n">
        <x:v>4</x:v>
      </x:c>
      <x:c r="K169" s="1" t="str">
        <x:f aca="0">TRC!B34</x:f>
        <x:v>S05</x:v>
      </x:c>
      <x:c r="L169" s="1" t="n">
        <x:f aca="0">TRC!C34</x:f>
        <x:v>0.0135</x:v>
      </x:c>
      <x:c r="M169" s="1">
        <x:f aca="0">VLOOKUP(K169,$J$101:$O$107,6,FALSE())</x:f>
        <x:v>0.05186721991701245</x:v>
      </x:c>
      <x:c r="N169" s="1">
        <x:f aca="0">N168+M169</x:f>
        <x:v>0.2012448132780083</x:v>
      </x:c>
      <x:c r="O169" s="1" t="n">
        <x:f aca="0">MAX(0,MIN(M169,$S$110-N168))</x:f>
        <x:v>0</x:v>
      </x:c>
      <x:c r="P169" s="1" t="n">
        <x:f aca="0">O169*L169</x:f>
        <x:v>0</x:v>
      </x:c>
    </x:row>
    <x:row r="170" ht="13.5" hidden="0" customHeight="1">
      <x:c r="J170" s="1" t="n">
        <x:v>5</x:v>
      </x:c>
      <x:c r="K170" s="1" t="str">
        <x:f aca="0">TRC!B35</x:f>
        <x:v>S02</x:v>
      </x:c>
      <x:c r="L170" s="1" t="n">
        <x:f aca="0">TRC!C35</x:f>
        <x:v>0.0105</x:v>
      </x:c>
      <x:c r="M170" s="1">
        <x:f aca="0">VLOOKUP(K170,$J$101:$O$107,6,FALSE())</x:f>
        <x:v>0.15560165975103735</x:v>
      </x:c>
      <x:c r="N170" s="1">
        <x:f aca="0">N169+M170</x:f>
        <x:v>0.35684647302904565</x:v>
      </x:c>
      <x:c r="O170" s="1" t="n">
        <x:f aca="0">MAX(0,MIN(M170,$S$110-N169))</x:f>
        <x:v>0</x:v>
      </x:c>
      <x:c r="P170" s="1" t="n">
        <x:f aca="0">O170*L170</x:f>
        <x:v>0</x:v>
      </x:c>
    </x:row>
    <x:row r="171" ht="13.5" hidden="0" customHeight="1">
      <x:c r="J171" s="1" t="n">
        <x:v>6</x:v>
      </x:c>
      <x:c r="K171" s="1" t="str">
        <x:f aca="0">TRC!B36</x:f>
        <x:v>S07</x:v>
      </x:c>
      <x:c r="L171" s="1" t="n">
        <x:f aca="0">TRC!C36</x:f>
        <x:v>0.007</x:v>
      </x:c>
      <x:c r="M171" s="1">
        <x:f aca="0">VLOOKUP(K171,$J$101:$O$107,6,FALSE())</x:f>
        <x:v>0.020746887966804982</x:v>
      </x:c>
      <x:c r="N171" s="1">
        <x:f aca="0">N170+M171</x:f>
        <x:v>0.3775933609958506</x:v>
      </x:c>
      <x:c r="O171" s="1" t="n">
        <x:f aca="0">MAX(0,MIN(M171,$S$110-N170))</x:f>
        <x:v>0</x:v>
      </x:c>
      <x:c r="P171" s="1" t="n">
        <x:f aca="0">O171*L171</x:f>
        <x:v>0</x:v>
      </x:c>
    </x:row>
    <x:row r="172" ht="13.5" hidden="0" customHeight="1">
      <x:c r="J172" s="1" t="n">
        <x:v>7</x:v>
      </x:c>
      <x:c r="K172" s="1" t="str">
        <x:f aca="0">TRC!B37</x:f>
        <x:v>S01</x:v>
      </x:c>
      <x:c r="L172" s="1" t="n">
        <x:f aca="0">TRC!C37</x:f>
        <x:v>0.003574</x:v>
      </x:c>
      <x:c r="M172" s="1">
        <x:f aca="0">VLOOKUP(K172,$J$101:$O$107,6,FALSE())</x:f>
        <x:v>0.6224066390041494</x:v>
      </x:c>
      <x:c r="N172" s="1" t="n">
        <x:f aca="0">N171+M172</x:f>
        <x:v>1</x:v>
      </x:c>
      <x:c r="O172" s="1" t="n">
        <x:f aca="0">MAX(0,MIN(M172,$S$110-N171))</x:f>
        <x:v>0</x:v>
      </x:c>
      <x:c r="P172" s="1" t="n">
        <x:f aca="0">O172*L172</x:f>
        <x:v>0</x:v>
      </x:c>
    </x:row>
    <x:row r="173" ht="13.5" hidden="0" customHeight="1"/>
    <x:row r="174" ht="13.5" hidden="0" customHeight="1">
      <x:c r="R174" s="1" t="s">
        <x:v>1205</x:v>
      </x:c>
      <x:c r="S174" s="1" t="n">
        <x:f aca="0">SUM(P166:P172)/$S$110</x:f>
        <x:v>0.0315</x:v>
      </x:c>
    </x:row>
    <x:row r="175" ht="13.5" hidden="0" customHeight="1">
      <x:c r="R175" s="1" t="s">
        <x:v>1206</x:v>
      </x:c>
      <x:c r="S175" s="1" t="str">
        <x:f aca="0">IF(S174&lt;=$S$111,"PASS","FAIL")</x:f>
        <x:v>PASS</x:v>
      </x:c>
    </x:row>
  </x:sheetData>
  <x:pageMargins left="0.7" right="0.7" top="0.75" bottom="0.75" header="0.3" footer="0.3"/>
</x:worksheet>
</file>

<file path=xl/worksheets/sheet23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cols>
    <x:col min="1" max="1" width="70" hidden="0" customWidth="1"/>
    <x:col min="2" max="2" width="12" hidden="0" customWidth="1"/>
    <x:col min="3" max="3" width="28" hidden="0" customWidth="1"/>
  </x:cols>
  <x:sheetData>
    <x:row r="1" ht="14.25" hidden="0" customHeight="1">
      <x:c r="A1" s="26" t="s">
        <x:v>1207</x:v>
      </x:c>
      <x:c r="B1" s="26"/>
      <x:c r="C1" s="26"/>
      <x:c r="D1" s="26"/>
      <x:c r="E1" s="26"/>
      <x:c r="F1" s="26"/>
      <x:c r="G1" s="26"/>
      <x:c r="H1" s="26"/>
      <x:c r="I1" s="26"/>
      <x:c r="J1" s="26"/>
    </x:row>
    <x:row r="2" ht="36" hidden="0" customHeight="1">
      <x:c r="A2" s="41" t="s">
        <x:v>1208</x:v>
      </x:c>
    </x:row>
    <x:row r="3" ht="14.25" hidden="0" customHeight="1">
      <x:c r="A3" s="1" t="s">
        <x:v>1209</x:v>
      </x:c>
    </x:row>
    <x:row r="4" ht="13.5" hidden="0" customHeight="1"/>
    <x:row r="5" ht="14.25" hidden="0" customHeight="1">
      <x:c r="A5" s="9" t="s">
        <x:v>1210</x:v>
      </x:c>
    </x:row>
    <x:row r="6" ht="13.5" hidden="0" customHeight="1"/>
    <x:row r="7" ht="14.25" hidden="0" customHeight="1">
      <x:c r="A7" s="9" t="s">
        <x:v>1211</x:v>
      </x:c>
    </x:row>
    <x:row r="8" ht="14.25" hidden="0" customHeight="1">
      <x:c r="A8" s="1" t="s">
        <x:v>1212</x:v>
      </x:c>
    </x:row>
    <x:row r="9" ht="14.25" hidden="0" customHeight="1">
      <x:c r="A9" s="9" t="s">
        <x:v>1213</x:v>
      </x:c>
      <x:c r="B9" s="9" t="s">
        <x:v>1214</x:v>
      </x:c>
      <x:c r="C9" s="9" t="s">
        <x:v>456</x:v>
      </x:c>
    </x:row>
    <x:row r="10" ht="14.25" hidden="0" customHeight="1">
      <x:c r="A10" s="1" t="s">
        <x:v>1215</x:v>
      </x:c>
      <x:c r="B10" s="1" t="n">
        <x:v>-0.069</x:v>
      </x:c>
      <x:c r="C10" s="1" t="s">
        <x:v>1163</x:v>
      </x:c>
    </x:row>
    <x:row r="11" ht="14.25" hidden="0" customHeight="1">
      <x:c r="A11" s="1" t="s">
        <x:v>1216</x:v>
      </x:c>
      <x:c r="B11" s="1" t="n">
        <x:v>-0.1</x:v>
      </x:c>
      <x:c r="C11" s="1" t="s">
        <x:v>1217</x:v>
      </x:c>
    </x:row>
    <x:row r="12" ht="14.25" hidden="0" customHeight="1">
      <x:c r="A12" s="1" t="s">
        <x:v>1218</x:v>
      </x:c>
      <x:c r="B12" s="1" t="n">
        <x:v>-0.12</x:v>
      </x:c>
      <x:c r="C12" s="1" t="s">
        <x:v>1219</x:v>
      </x:c>
    </x:row>
    <x:row r="13" ht="14.25" hidden="0" customHeight="1">
      <x:c r="A13" s="1" t="s">
        <x:v>1220</x:v>
      </x:c>
      <x:c r="B13" s="1" t="n">
        <x:v>-0.15</x:v>
      </x:c>
      <x:c r="C13" s="1" t="s">
        <x:v>1221</x:v>
      </x:c>
    </x:row>
    <x:row r="14" ht="14.25" hidden="0" customHeight="1">
      <x:c r="A14" s="1" t="s">
        <x:v>1222</x:v>
      </x:c>
      <x:c r="B14" s="1" t="n">
        <x:v>-0.15</x:v>
      </x:c>
      <x:c r="C14" s="1" t="s">
        <x:v>1223</x:v>
      </x:c>
    </x:row>
    <x:row r="15" ht="14.25" hidden="0" customHeight="1">
      <x:c r="A15" s="13" t="s">
        <x:v>1224</x:v>
      </x:c>
    </x:row>
    <x:row r="16" ht="13.5" hidden="0" customHeight="1"/>
    <x:row r="17" ht="14.25" hidden="0" customHeight="1">
      <x:c r="A17" s="9" t="s">
        <x:v>1225</x:v>
      </x:c>
    </x:row>
    <x:row r="18" ht="14.25" hidden="0" customHeight="1">
      <x:c r="A18" s="1" t="s">
        <x:v>1226</x:v>
      </x:c>
    </x:row>
    <x:row r="19" ht="14.25" hidden="0" customHeight="1">
      <x:c r="A19" s="1" t="s">
        <x:v>1227</x:v>
      </x:c>
    </x:row>
    <x:row r="20" ht="14.25" hidden="0" customHeight="1">
      <x:c r="A20" s="13" t="s">
        <x:v>1228</x:v>
      </x:c>
    </x:row>
    <x:row r="21" ht="13.5" hidden="0" customHeight="1"/>
    <x:row r="22" ht="14.25" hidden="0" customHeight="1">
      <x:c r="A22" s="9" t="s">
        <x:v>1229</x:v>
      </x:c>
    </x:row>
    <x:row r="23" ht="14.25" hidden="0" customHeight="1">
      <x:c r="A23" s="1" t="s">
        <x:v>1226</x:v>
      </x:c>
    </x:row>
    <x:row r="24" ht="14.25" hidden="0" customHeight="1">
      <x:c r="A24" s="1" t="s">
        <x:v>1230</x:v>
      </x:c>
    </x:row>
    <x:row r="25" ht="14.25" hidden="0" customHeight="1">
      <x:c r="A25" s="13" t="s">
        <x:v>1231</x:v>
      </x:c>
    </x:row>
    <x:row r="26" ht="13.5" hidden="0" customHeight="1"/>
    <x:row r="27" ht="13.5" hidden="0" customHeight="1"/>
    <x:row r="28" ht="14.25" hidden="0" customHeight="1">
      <x:c r="A28" s="9" t="s">
        <x:v>1232</x:v>
      </x:c>
    </x:row>
    <x:row r="29" ht="13.5" hidden="0" customHeight="1"/>
    <x:row r="30" ht="14.25" hidden="0" customHeight="1">
      <x:c r="A30" s="9" t="s">
        <x:v>1233</x:v>
      </x:c>
    </x:row>
    <x:row r="31" ht="14.25" hidden="0" customHeight="1">
      <x:c r="A31" s="1" t="s">
        <x:v>1234</x:v>
      </x:c>
    </x:row>
    <x:row r="32" ht="14.25" hidden="0" customHeight="1">
      <x:c r="A32" s="1" t="s">
        <x:v>1235</x:v>
      </x:c>
    </x:row>
    <x:row r="33" ht="14.25" hidden="0" customHeight="1">
      <x:c r="A33" s="13" t="s">
        <x:v>1236</x:v>
      </x:c>
    </x:row>
    <x:row r="34" ht="13.5" hidden="0" customHeight="1"/>
    <x:row r="35" ht="14.25" hidden="0" customHeight="1">
      <x:c r="A35" s="1" t="s">
        <x:v>1237</x:v>
      </x:c>
    </x:row>
    <x:row r="36" ht="14.25" hidden="0" customHeight="1">
      <x:c r="A36" s="13" t="s">
        <x:v>1238</x:v>
      </x:c>
    </x:row>
    <x:row r="37" ht="13.5" hidden="0" customHeight="1"/>
    <x:row r="38" ht="14.25" hidden="0" customHeight="1">
      <x:c r="A38" s="1" t="s">
        <x:v>1239</x:v>
      </x:c>
    </x:row>
    <x:row r="39" ht="14.25" hidden="0" customHeight="1">
      <x:c r="A39" s="13" t="s">
        <x:v>1240</x:v>
      </x:c>
    </x:row>
    <x:row r="40" ht="13.5" hidden="0" customHeight="1"/>
    <x:row r="41" ht="13.5" hidden="0" customHeight="1"/>
    <x:row r="42" ht="14.25" hidden="0" customHeight="1">
      <x:c r="A42" s="9" t="s">
        <x:v>1241</x:v>
      </x:c>
    </x:row>
    <x:row r="43" ht="14.25" hidden="0" customHeight="1">
      <x:c r="A43" s="1" t="s">
        <x:v>1242</x:v>
      </x:c>
    </x:row>
    <x:row r="44" ht="14.25" hidden="0" customHeight="1">
      <x:c r="A44" s="1" t="s">
        <x:v>1243</x:v>
      </x:c>
    </x:row>
    <x:row r="45" ht="14.25" hidden="0" customHeight="1">
      <x:c r="A45" s="13" t="s">
        <x:v>1244</x:v>
      </x:c>
    </x:row>
    <x:row r="46" ht="13.5" hidden="0" customHeight="1">
      <x:c r="A46" s="1" t="s">
        <x:v>1245</x:v>
      </x:c>
      <x:c r="B46" s="1" t="n">
        <x:f aca="0">IF(COUNTIF($A$1:$A$200,"WORST-OFF")&gt;0,1,0)</x:f>
        <x:v>1</x:v>
      </x:c>
    </x:row>
  </x:sheetData>
  <x:mergeCells>
    <x:mergeCell ref="A1:J1"/>
  </x:mergeCells>
  <x:pageMargins left="0.7" right="0.7" top="0.75" bottom="0.75" header="0.3" footer="0.3"/>
</x:worksheet>
</file>

<file path=xl/worksheets/sheet24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cols>
    <x:col min="1" max="1" width="22" hidden="0" customWidth="1"/>
    <x:col min="2" max="2" width="10" hidden="0" customWidth="1"/>
    <x:col min="3" max="3" width="14" hidden="0" customWidth="1"/>
    <x:col min="4" max="4" width="10" hidden="0" customWidth="1"/>
    <x:col min="5" max="5" width="12" hidden="0" customWidth="1"/>
    <x:col min="6" max="6" width="16" hidden="0" customWidth="1"/>
    <x:col min="7" max="7" width="34" hidden="0" customWidth="1"/>
    <x:col min="8" max="8" width="18" hidden="0" customWidth="1"/>
  </x:cols>
  <x:sheetData>
    <x:row r="1" ht="14.25" hidden="0" customHeight="1">
      <x:c r="A1" s="12" t="s">
        <x:v>1246</x:v>
      </x:c>
    </x:row>
    <x:row r="3" ht="14.25" hidden="0" customHeight="1">
      <x:c r="A3" s="12" t="s">
        <x:v>1247</x:v>
      </x:c>
    </x:row>
    <x:row r="4" ht="14.25" hidden="0" customHeight="1">
      <x:c r="A4" s="1" t="s">
        <x:v>1248</x:v>
      </x:c>
    </x:row>
    <x:row r="5" ht="14.25" hidden="0" customHeight="1">
      <x:c r="A5" s="1" t="s">
        <x:v>1249</x:v>
      </x:c>
    </x:row>
    <x:row r="6" ht="14.25" hidden="0" customHeight="1">
      <x:c r="A6" s="1"/>
    </x:row>
    <x:row r="7" ht="14.25" hidden="0" customHeight="1">
      <x:c r="A7" s="1" t="s">
        <x:v>1250</x:v>
      </x:c>
      <x:c r="B7" s="1" t="n">
        <x:v>1.5</x:v>
      </x:c>
    </x:row>
    <x:row r="8" ht="14.25" hidden="0" customHeight="1">
      <x:c r="A8" s="1"/>
    </x:row>
    <x:row r="9" ht="14.25" hidden="0" customHeight="1">
      <x:c r="A9" s="12" t="s">
        <x:v>1251</x:v>
      </x:c>
    </x:row>
    <x:row r="10" ht="14.25" hidden="0" customHeight="1">
      <x:c r="A10" s="12" t="s">
        <x:v>1252</x:v>
      </x:c>
      <x:c r="B10" s="12" t="s">
        <x:v>1253</x:v>
      </x:c>
      <x:c r="C10" s="12" t="s">
        <x:v>1254</x:v>
      </x:c>
      <x:c r="D10" s="12" t="s">
        <x:v>425</x:v>
      </x:c>
      <x:c r="E10" s="12" t="s">
        <x:v>426</x:v>
      </x:c>
      <x:c r="F10" s="12" t="s">
        <x:v>1255</x:v>
      </x:c>
      <x:c r="G10" s="12" t="s">
        <x:v>186</x:v>
      </x:c>
      <x:c r="H10" s="12" t="s">
        <x:v>1256</x:v>
      </x:c>
    </x:row>
    <x:row r="11" ht="14.25" hidden="0" customHeight="1">
      <x:c r="A11" s="1"/>
      <x:c r="H11" t="str">
        <x:f aca="0">IF(OR($B11="",$D11="",$E11=""),"",$B11&amp;"|"&amp;$D11&amp;"|"&amp;$E11)</x:f>
      </x:c>
    </x:row>
    <x:row r="12" ht="14.25" hidden="0" customHeight="1">
      <x:c r="A12" s="12"/>
      <x:c r="H12" t="str">
        <x:f aca="0">IF(OR($B12="",$D12="",$E12=""),"",$B12&amp;"|"&amp;$D12&amp;"|"&amp;$E12)</x:f>
      </x:c>
    </x:row>
    <x:row r="13" ht="14.25" hidden="0" customHeight="1">
      <x:c r="A13" s="12"/>
      <x:c r="B13" s="12"/>
      <x:c r="C13" s="12"/>
      <x:c r="D13" s="12"/>
      <x:c r="E13" s="12"/>
      <x:c r="F13" s="12"/>
      <x:c r="G13" s="12"/>
      <x:c r="H13" s="93" t="str">
        <x:f aca="0">IF(OR($B13="",$D13="",$E13=""),"",$B13&amp;"|"&amp;$D13&amp;"|"&amp;$E13)</x:f>
      </x:c>
    </x:row>
    <x:row r="14" ht="14.25" hidden="0" customHeight="1">
      <x:c r="A14" s="12" t="s">
        <x:v>1257</x:v>
      </x:c>
      <x:c r="H14" t="str">
        <x:f aca="0">IF(OR($B14="",$D14="",$E14=""),"",$B14&amp;"|"&amp;$D14&amp;"|"&amp;$E14)</x:f>
      </x:c>
    </x:row>
    <x:row r="15" ht="14.25" hidden="0" customHeight="1">
      <x:c r="A15" s="1" t="s">
        <x:v>1258</x:v>
      </x:c>
      <x:c r="B15" s="1" t="s">
        <x:v>1259</x:v>
      </x:c>
      <x:c r="H15" t="str">
        <x:f aca="0">IF(OR($B15="",$D15="",$E15=""),"",$B15&amp;"|"&amp;$D15&amp;"|"&amp;$E15)</x:f>
      </x:c>
    </x:row>
    <x:row r="16" ht="14.25" hidden="0" customHeight="1">
      <x:c r="A16" s="12" t="s">
        <x:v>1260</x:v>
      </x:c>
      <x:c r="B16" s="1" t="n">
        <x:f aca="0">COUNT(F11:F100)</x:f>
        <x:v>6</x:v>
      </x:c>
      <x:c r="H16" t="str">
        <x:f aca="0">IF(OR($B16="",$D16="",$E16=""),"",$B16&amp;"|"&amp;$D16&amp;"|"&amp;$E16)</x:f>
      </x:c>
    </x:row>
    <x:row r="17" ht="14.25" hidden="0" customHeight="1">
      <x:c r="A17" s="1" t="s">
        <x:v>1261</x:v>
      </x:c>
      <x:c r="B17" s="11" t="n">
        <x:f aca="0">COUNT(F11:F100)</x:f>
        <x:v>6</x:v>
      </x:c>
      <x:c r="H17" t="str">
        <x:f aca="0">IF(OR($B17="",$D17="",$E17=""),"",$B17&amp;"|"&amp;$D17&amp;"|"&amp;$E17)</x:f>
      </x:c>
    </x:row>
    <x:row r="18" ht="14.25" hidden="0" customHeight="1">
      <x:c r="A18" s="1" t="s">
        <x:v>1262</x:v>
      </x:c>
      <x:c r="B18" s="11" t="str">
        <x:f aca="0">IF(B17=0,"YES","NO")</x:f>
        <x:v>NO</x:v>
      </x:c>
      <x:c r="H18" t="str">
        <x:f aca="0">IF(OR($B18="",$D18="",$E18=""),"",$B18&amp;"|"&amp;$D18&amp;"|"&amp;$E18)</x:f>
      </x:c>
    </x:row>
    <x:row r="19" ht="14.25" hidden="0" customHeight="1">
      <x:c r="A19" s="1" t="s">
        <x:v>1263</x:v>
      </x:c>
      <x:c r="B19" s="1" t="str">
        <x:f aca="0">Audit_Flags!B14</x:f>
        <x:v>NO</x:v>
      </x:c>
      <x:c r="H19" t="str">
        <x:f aca="0">IF(OR($B19="",$D19="",$E19=""),"",$B19&amp;"|"&amp;$D19&amp;"|"&amp;$E19)</x:f>
      </x:c>
    </x:row>
    <x:row r="20" ht="21.75" hidden="0" customHeight="1">
      <x:c r="A20" s="94" t="s">
        <x:v>1264</x:v>
      </x:c>
      <x:c r="H20" t="str">
        <x:f aca="0">IF(OR($B20="",$D20="",$E20=""),"",$B20&amp;"|"&amp;$D20&amp;"|"&amp;$E20)</x:f>
      </x:c>
    </x:row>
    <x:row r="21" ht="21.75" hidden="0" customHeight="1">
      <x:c r="A21" s="94" t="s">
        <x:v>1265</x:v>
      </x:c>
      <x:c r="H21" t="str">
        <x:f aca="0">IF(OR($B21="",$D21="",$E21=""),"",$B21&amp;"|"&amp;$D21&amp;"|"&amp;$E21)</x:f>
      </x:c>
    </x:row>
    <x:row r="22" ht="21.75" hidden="0" customHeight="1">
      <x:c r="A22" s="94" t="s">
        <x:v>1266</x:v>
      </x:c>
      <x:c r="H22" t="str">
        <x:f aca="0">IF(OR($B22="",$D22="",$E22=""),"",$B22&amp;"|"&amp;$D22&amp;"|"&amp;$E22)</x:f>
      </x:c>
    </x:row>
    <x:row r="23" ht="21.75" hidden="0" customHeight="1">
      <x:c r="A23" s="94" t="s">
        <x:v>1267</x:v>
      </x:c>
      <x:c r="H23" t="str">
        <x:f aca="0">IF(OR($B23="",$D23="",$E23=""),"",$B23&amp;"|"&amp;$D23&amp;"|"&amp;$E23)</x:f>
      </x:c>
    </x:row>
    <x:row r="24" ht="14.25" hidden="0" customHeight="1">
      <x:c r="A24" s="1" t="s">
        <x:v>1268</x:v>
      </x:c>
      <x:c r="B24" t="s">
        <x:v>524</x:v>
      </x:c>
      <x:c r="C24" t="s">
        <x:v>692</x:v>
      </x:c>
      <x:c r="D24" t="s">
        <x:v>430</x:v>
      </x:c>
      <x:c r="E24" t="s">
        <x:v>437</x:v>
      </x:c>
      <x:c r="F24" t="n">
        <x:v>-0.15</x:v>
      </x:c>
      <x:c r="G24" s="42" t="s">
        <x:v>1269</x:v>
      </x:c>
      <x:c r="H24" t="str">
        <x:f aca="0">IF(OR($B24="",$D24="",$E24=""),"",$B24&amp;"|"&amp;$D24&amp;"|"&amp;$E24)</x:f>
        <x:v>A|U3|D3</x:v>
      </x:c>
    </x:row>
    <x:row r="25" ht="14.25" hidden="0" customHeight="1">
      <x:c r="A25" s="1" t="s">
        <x:v>1270</x:v>
      </x:c>
      <x:c r="B25" t="s">
        <x:v>524</x:v>
      </x:c>
      <x:c r="C25" t="s">
        <x:v>693</x:v>
      </x:c>
      <x:c r="D25" t="s">
        <x:v>431</x:v>
      </x:c>
      <x:c r="E25" t="s">
        <x:v>438</x:v>
      </x:c>
      <x:c r="F25" t="n">
        <x:v>-0.3</x:v>
      </x:c>
      <x:c r="G25" s="42" t="s">
        <x:v>1271</x:v>
      </x:c>
      <x:c r="H25" t="str">
        <x:f aca="0">IF(OR($B25="",$D25="",$E25=""),"",$B25&amp;"|"&amp;$D25&amp;"|"&amp;$E25)</x:f>
        <x:v>A|U4|D1</x:v>
      </x:c>
    </x:row>
    <x:row r="26" ht="14.25" hidden="0" customHeight="1">
      <x:c r="A26" s="1" t="s">
        <x:v>1272</x:v>
      </x:c>
      <x:c r="B26" t="s">
        <x:v>524</x:v>
      </x:c>
      <x:c r="C26" t="s">
        <x:v>691</x:v>
      </x:c>
      <x:c r="D26" t="s">
        <x:v>430</x:v>
      </x:c>
      <x:c r="E26" t="s">
        <x:v>438</x:v>
      </x:c>
      <x:c r="F26" t="n">
        <x:v>-0.2</x:v>
      </x:c>
      <x:c r="G26" s="42" t="s">
        <x:v>1273</x:v>
      </x:c>
      <x:c r="H26" t="str">
        <x:f aca="0">IF(OR($B26="",$D26="",$E26=""),"",$B26&amp;"|"&amp;$D26&amp;"|"&amp;$E26)</x:f>
        <x:v>A|U3|D1</x:v>
      </x:c>
    </x:row>
    <x:row r="27" ht="14.25" hidden="0" customHeight="1">
      <x:c r="A27" s="1" t="s">
        <x:v>1274</x:v>
      </x:c>
      <x:c r="B27" t="s">
        <x:v>547</x:v>
      </x:c>
      <x:c r="C27" t="s">
        <x:v>688</x:v>
      </x:c>
      <x:c r="D27" t="s">
        <x:v>427</x:v>
      </x:c>
      <x:c r="E27" t="s">
        <x:v>436</x:v>
      </x:c>
      <x:c r="F27" t="n">
        <x:v>-0.15</x:v>
      </x:c>
      <x:c r="G27" s="42" t="s">
        <x:v>1275</x:v>
      </x:c>
      <x:c r="H27" t="str">
        <x:f aca="0">IF(OR($B27="",$D27="",$E27=""),"",$B27&amp;"|"&amp;$D27&amp;"|"&amp;$E27)</x:f>
        <x:v>B|U1|D5</x:v>
      </x:c>
    </x:row>
    <x:row r="28" ht="14.25" hidden="0" customHeight="1">
      <x:c r="A28" s="1" t="s">
        <x:v>1276</x:v>
      </x:c>
      <x:c r="B28" t="s">
        <x:v>547</x:v>
      </x:c>
      <x:c r="C28" t="s">
        <x:v>690</x:v>
      </x:c>
      <x:c r="D28" t="s">
        <x:v>429</x:v>
      </x:c>
      <x:c r="E28" t="s">
        <x:v>438</x:v>
      </x:c>
      <x:c r="F28" t="n">
        <x:v>-0.12</x:v>
      </x:c>
      <x:c r="G28" s="42" t="s">
        <x:v>1277</x:v>
      </x:c>
      <x:c r="H28" t="str">
        <x:f aca="0">IF(OR($B28="",$D28="",$E28=""),"",$B28&amp;"|"&amp;$D28&amp;"|"&amp;$E28)</x:f>
        <x:v>B|U2|D1</x:v>
      </x:c>
    </x:row>
    <x:row r="29" ht="14.25" hidden="0" customHeight="1">
      <x:c r="A29" s="1" t="s">
        <x:v>1278</x:v>
      </x:c>
      <x:c r="B29" t="s">
        <x:v>547</x:v>
      </x:c>
      <x:c r="C29" t="s">
        <x:v>694</x:v>
      </x:c>
      <x:c r="D29" t="s">
        <x:v>435</x:v>
      </x:c>
      <x:c r="E29" t="s">
        <x:v>434</x:v>
      </x:c>
      <x:c r="F29" t="n">
        <x:v>-0.08</x:v>
      </x:c>
      <x:c r="G29" s="42" t="s">
        <x:v>1279</x:v>
      </x:c>
      <x:c r="H29" t="str">
        <x:f aca="0">IF(OR($B29="",$D29="",$E29=""),"",$B29&amp;"|"&amp;$D29&amp;"|"&amp;$E29)</x:f>
        <x:v>B|U7|D7</x:v>
      </x:c>
    </x:row>
    <x:row r="30" ht="14.25" hidden="0" customHeight="1">
      <x:c r="A30" s="1"/>
      <x:c r="H30" t="str">
        <x:f aca="0">IF(OR($B30="",$D30="",$E30=""),"",$B30&amp;"|"&amp;$D30&amp;"|"&amp;$E30)</x:f>
      </x:c>
    </x:row>
    <x:row r="31" ht="14.25" hidden="0" customHeight="1">
      <x:c r="A31" s="1"/>
      <x:c r="H31" t="str">
        <x:f aca="0">IF(OR($B31="",$D31="",$E31=""),"",$B31&amp;"|"&amp;$D31&amp;"|"&amp;$E31)</x:f>
      </x:c>
    </x:row>
    <x:row r="32" ht="14.25" hidden="0" customHeight="1">
      <x:c r="A32" s="1"/>
      <x:c r="H32" t="str">
        <x:f aca="0">IF(OR($B32="",$D32="",$E32=""),"",$B32&amp;"|"&amp;$D32&amp;"|"&amp;$E32)</x:f>
      </x:c>
    </x:row>
    <x:row r="33" ht="14.25" hidden="0" customHeight="1">
      <x:c r="A33" s="1"/>
      <x:c r="H33" t="str">
        <x:f aca="0">IF(OR($B33="",$D33="",$E33=""),"",$B33&amp;"|"&amp;$D33&amp;"|"&amp;$E33)</x:f>
      </x:c>
    </x:row>
    <x:row r="34" ht="14.25" hidden="0" customHeight="1">
      <x:c r="A34" s="1"/>
      <x:c r="H34" t="str">
        <x:f aca="0">IF(OR($B34="",$D34="",$E34=""),"",$B34&amp;"|"&amp;$D34&amp;"|"&amp;$E34)</x:f>
      </x:c>
    </x:row>
    <x:row r="35" ht="14.25" hidden="0" customHeight="1">
      <x:c r="A35" s="1"/>
      <x:c r="H35" t="str">
        <x:f aca="0">IF(OR($B35="",$D35="",$E35=""),"",$B35&amp;"|"&amp;$D35&amp;"|"&amp;$E35)</x:f>
      </x:c>
    </x:row>
    <x:row r="36" ht="14.25" hidden="0" customHeight="1">
      <x:c r="A36" s="1"/>
      <x:c r="H36" t="str">
        <x:f aca="0">IF(OR($B36="",$D36="",$E36=""),"",$B36&amp;"|"&amp;$D36&amp;"|"&amp;$E36)</x:f>
      </x:c>
    </x:row>
    <x:row r="37" ht="14.25" hidden="0" customHeight="1">
      <x:c r="A37" s="1"/>
      <x:c r="H37" t="str">
        <x:f aca="0">IF(OR($B37="",$D37="",$E37=""),"",$B37&amp;"|"&amp;$D37&amp;"|"&amp;$E37)</x:f>
      </x:c>
    </x:row>
    <x:row r="38" ht="14.25" hidden="0" customHeight="1">
      <x:c r="A38" s="1"/>
      <x:c r="H38" t="str">
        <x:f aca="0">IF(OR($B38="",$D38="",$E38=""),"",$B38&amp;"|"&amp;$D38&amp;"|"&amp;$E38)</x:f>
      </x:c>
    </x:row>
    <x:row r="39" ht="14.25" hidden="0" customHeight="1">
      <x:c r="A39" s="1"/>
      <x:c r="H39" t="str">
        <x:f aca="0">IF(OR($B39="",$D39="",$E39=""),"",$B39&amp;"|"&amp;$D39&amp;"|"&amp;$E39)</x:f>
      </x:c>
    </x:row>
    <x:row r="40" ht="14.25" hidden="0" customHeight="1">
      <x:c r="A40" s="1"/>
      <x:c r="H40" t="str">
        <x:f aca="0">IF(OR($B40="",$D40="",$E40=""),"",$B40&amp;"|"&amp;$D40&amp;"|"&amp;$E40)</x:f>
      </x:c>
    </x:row>
    <x:row r="41" ht="14.25" hidden="0" customHeight="1">
      <x:c r="A41" s="1"/>
      <x:c r="H41" t="str">
        <x:f aca="0">IF(OR($B41="",$D41="",$E41=""),"",$B41&amp;"|"&amp;$D41&amp;"|"&amp;$E41)</x:f>
      </x:c>
    </x:row>
    <x:row r="42" ht="14.25" hidden="0" customHeight="1">
      <x:c r="A42" s="1"/>
      <x:c r="H42" t="str">
        <x:f aca="0">IF(OR($B42="",$D42="",$E42=""),"",$B42&amp;"|"&amp;$D42&amp;"|"&amp;$E42)</x:f>
      </x:c>
    </x:row>
    <x:row r="43" ht="14.25" hidden="0" customHeight="1">
      <x:c r="A43" s="1"/>
      <x:c r="H43" t="str">
        <x:f aca="0">IF(OR($B43="",$D43="",$E43=""),"",$B43&amp;"|"&amp;$D43&amp;"|"&amp;$E43)</x:f>
      </x:c>
    </x:row>
    <x:row r="44" ht="14.25" hidden="0" customHeight="1">
      <x:c r="A44" s="1"/>
      <x:c r="H44" t="str">
        <x:f aca="0">IF(OR($B44="",$D44="",$E44=""),"",$B44&amp;"|"&amp;$D44&amp;"|"&amp;$E44)</x:f>
      </x:c>
    </x:row>
    <x:row r="45" ht="14.25" hidden="0" customHeight="1">
      <x:c r="A45" s="1"/>
      <x:c r="H45" t="str">
        <x:f aca="0">IF(OR($B45="",$D45="",$E45=""),"",$B45&amp;"|"&amp;$D45&amp;"|"&amp;$E45)</x:f>
      </x:c>
    </x:row>
    <x:row r="46" ht="14.25" hidden="0" customHeight="1">
      <x:c r="A46" s="1"/>
      <x:c r="H46" t="str">
        <x:f aca="0">IF(OR($B46="",$D46="",$E46=""),"",$B46&amp;"|"&amp;$D46&amp;"|"&amp;$E46)</x:f>
      </x:c>
    </x:row>
    <x:row r="47" ht="14.25" hidden="0" customHeight="1">
      <x:c r="A47" s="1"/>
      <x:c r="H47" t="str">
        <x:f aca="0">IF(OR($B47="",$D47="",$E47=""),"",$B47&amp;"|"&amp;$D47&amp;"|"&amp;$E47)</x:f>
      </x:c>
    </x:row>
    <x:row r="48" ht="14.25" hidden="0" customHeight="1">
      <x:c r="A48" s="1"/>
      <x:c r="H48" t="str">
        <x:f aca="0">IF(OR($B48="",$D48="",$E48=""),"",$B48&amp;"|"&amp;$D48&amp;"|"&amp;$E48)</x:f>
      </x:c>
    </x:row>
    <x:row r="49" ht="14.25" hidden="0" customHeight="1">
      <x:c r="A49" s="1"/>
      <x:c r="H49" t="str">
        <x:f aca="0">IF(OR($B49="",$D49="",$E49=""),"",$B49&amp;"|"&amp;$D49&amp;"|"&amp;$E49)</x:f>
      </x:c>
    </x:row>
    <x:row r="50" ht="14.25" hidden="0" customHeight="1">
      <x:c r="A50" s="1"/>
      <x:c r="H50" t="str">
        <x:f aca="0">IF(OR($B50="",$D50="",$E50=""),"",$B50&amp;"|"&amp;$D50&amp;"|"&amp;$E50)</x:f>
      </x:c>
    </x:row>
    <x:row r="51" ht="14.25" hidden="0" customHeight="1">
      <x:c r="A51" s="1"/>
      <x:c r="H51" t="str">
        <x:f aca="0">IF(OR($B51="",$D51="",$E51=""),"",$B51&amp;"|"&amp;$D51&amp;"|"&amp;$E51)</x:f>
      </x:c>
    </x:row>
    <x:row r="52" ht="14.25" hidden="0" customHeight="1">
      <x:c r="A52" s="1"/>
      <x:c r="H52" t="str">
        <x:f aca="0">IF(OR($B52="",$D52="",$E52=""),"",$B52&amp;"|"&amp;$D52&amp;"|"&amp;$E52)</x:f>
      </x:c>
    </x:row>
    <x:row r="53" ht="14.25" hidden="0" customHeight="1">
      <x:c r="A53" s="1"/>
      <x:c r="H53" t="str">
        <x:f aca="0">IF(OR($B53="",$D53="",$E53=""),"",$B53&amp;"|"&amp;$D53&amp;"|"&amp;$E53)</x:f>
      </x:c>
    </x:row>
    <x:row r="54" ht="14.25" hidden="0" customHeight="1">
      <x:c r="A54" s="1"/>
      <x:c r="H54" t="str">
        <x:f aca="0">IF(OR($B54="",$D54="",$E54=""),"",$B54&amp;"|"&amp;$D54&amp;"|"&amp;$E54)</x:f>
      </x:c>
    </x:row>
    <x:row r="55" ht="14.25" hidden="0" customHeight="1">
      <x:c r="A55" s="1"/>
      <x:c r="H55" t="str">
        <x:f aca="0">IF(OR($B55="",$D55="",$E55=""),"",$B55&amp;"|"&amp;$D55&amp;"|"&amp;$E55)</x:f>
      </x:c>
    </x:row>
    <x:row r="56" ht="14.25" hidden="0" customHeight="1">
      <x:c r="A56" s="1"/>
      <x:c r="H56" t="str">
        <x:f aca="0">IF(OR($B56="",$D56="",$E56=""),"",$B56&amp;"|"&amp;$D56&amp;"|"&amp;$E56)</x:f>
      </x:c>
    </x:row>
    <x:row r="57" ht="14.25" hidden="0" customHeight="1">
      <x:c r="A57" s="1"/>
      <x:c r="H57" t="str">
        <x:f aca="0">IF(OR($B57="",$D57="",$E57=""),"",$B57&amp;"|"&amp;$D57&amp;"|"&amp;$E57)</x:f>
      </x:c>
    </x:row>
    <x:row r="58" ht="14.25" hidden="0" customHeight="1">
      <x:c r="A58" s="1"/>
      <x:c r="H58" t="str">
        <x:f aca="0">IF(OR($B58="",$D58="",$E58=""),"",$B58&amp;"|"&amp;$D58&amp;"|"&amp;$E58)</x:f>
      </x:c>
    </x:row>
    <x:row r="59" ht="14.25" hidden="0" customHeight="1">
      <x:c r="A59" s="1"/>
      <x:c r="H59" t="str">
        <x:f aca="0">IF(OR($B59="",$D59="",$E59=""),"",$B59&amp;"|"&amp;$D59&amp;"|"&amp;$E59)</x:f>
      </x:c>
    </x:row>
    <x:row r="60" ht="14.25" hidden="0" customHeight="1">
      <x:c r="A60" s="1"/>
      <x:c r="H60" t="str">
        <x:f aca="0">IF(OR($B60="",$D60="",$E60=""),"",$B60&amp;"|"&amp;$D60&amp;"|"&amp;$E60)</x:f>
      </x:c>
    </x:row>
    <x:row r="61" ht="14.25" hidden="0" customHeight="1">
      <x:c r="A61" s="1"/>
      <x:c r="H61" t="str">
        <x:f aca="0">IF(OR($B61="",$D61="",$E61=""),"",$B61&amp;"|"&amp;$D61&amp;"|"&amp;$E61)</x:f>
      </x:c>
    </x:row>
    <x:row r="62" ht="14.25" hidden="0" customHeight="1">
      <x:c r="A62" s="1"/>
      <x:c r="H62" t="str">
        <x:f aca="0">IF(OR($B62="",$D62="",$E62=""),"",$B62&amp;"|"&amp;$D62&amp;"|"&amp;$E62)</x:f>
      </x:c>
    </x:row>
    <x:row r="63" ht="14.25" hidden="0" customHeight="1">
      <x:c r="A63" s="1"/>
      <x:c r="H63" t="str">
        <x:f aca="0">IF(OR($B63="",$D63="",$E63=""),"",$B63&amp;"|"&amp;$D63&amp;"|"&amp;$E63)</x:f>
      </x:c>
    </x:row>
    <x:row r="64" ht="14.25" hidden="0" customHeight="1">
      <x:c r="A64" s="1"/>
      <x:c r="H64" t="str">
        <x:f aca="0">IF(OR($B64="",$D64="",$E64=""),"",$B64&amp;"|"&amp;$D64&amp;"|"&amp;$E64)</x:f>
      </x:c>
    </x:row>
    <x:row r="65" ht="14.25" hidden="0" customHeight="1">
      <x:c r="A65" s="1"/>
      <x:c r="H65" t="str">
        <x:f aca="0">IF(OR($B65="",$D65="",$E65=""),"",$B65&amp;"|"&amp;$D65&amp;"|"&amp;$E65)</x:f>
      </x:c>
    </x:row>
    <x:row r="66" ht="14.25" hidden="0" customHeight="1">
      <x:c r="A66" s="1"/>
      <x:c r="H66" t="str">
        <x:f aca="0">IF(OR($B66="",$D66="",$E66=""),"",$B66&amp;"|"&amp;$D66&amp;"|"&amp;$E66)</x:f>
      </x:c>
    </x:row>
    <x:row r="67" ht="14.25" hidden="0" customHeight="1">
      <x:c r="A67" s="1"/>
      <x:c r="H67" t="str">
        <x:f aca="0">IF(OR($B67="",$D67="",$E67=""),"",$B67&amp;"|"&amp;$D67&amp;"|"&amp;$E67)</x:f>
      </x:c>
    </x:row>
    <x:row r="68" ht="14.25" hidden="0" customHeight="1">
      <x:c r="A68" s="1"/>
      <x:c r="H68" t="str">
        <x:f aca="0">IF(OR($B68="",$D68="",$E68=""),"",$B68&amp;"|"&amp;$D68&amp;"|"&amp;$E68)</x:f>
      </x:c>
    </x:row>
    <x:row r="69" ht="14.25" hidden="0" customHeight="1">
      <x:c r="A69" s="1"/>
      <x:c r="H69" t="str">
        <x:f aca="0">IF(OR($B69="",$D69="",$E69=""),"",$B69&amp;"|"&amp;$D69&amp;"|"&amp;$E69)</x:f>
      </x:c>
    </x:row>
    <x:row r="70" ht="14.25" hidden="0" customHeight="1">
      <x:c r="A70" s="1"/>
      <x:c r="H70" t="str">
        <x:f aca="0">IF(OR($B70="",$D70="",$E70=""),"",$B70&amp;"|"&amp;$D70&amp;"|"&amp;$E70)</x:f>
      </x:c>
    </x:row>
    <x:row r="71" ht="14.25" hidden="0" customHeight="1">
      <x:c r="A71" s="1"/>
      <x:c r="H71" t="str">
        <x:f aca="0">IF(OR($B71="",$D71="",$E71=""),"",$B71&amp;"|"&amp;$D71&amp;"|"&amp;$E71)</x:f>
      </x:c>
    </x:row>
    <x:row r="72" ht="14.25" hidden="0" customHeight="1">
      <x:c r="A72" s="1"/>
      <x:c r="H72" t="str">
        <x:f aca="0">IF(OR($B72="",$D72="",$E72=""),"",$B72&amp;"|"&amp;$D72&amp;"|"&amp;$E72)</x:f>
      </x:c>
    </x:row>
    <x:row r="73" ht="14.25" hidden="0" customHeight="1">
      <x:c r="A73" s="1"/>
      <x:c r="H73" t="str">
        <x:f aca="0">IF(OR($B73="",$D73="",$E73=""),"",$B73&amp;"|"&amp;$D73&amp;"|"&amp;$E73)</x:f>
      </x:c>
    </x:row>
    <x:row r="74" ht="14.25" hidden="0" customHeight="1">
      <x:c r="A74" s="1"/>
      <x:c r="H74" t="str">
        <x:f aca="0">IF(OR($B74="",$D74="",$E74=""),"",$B74&amp;"|"&amp;$D74&amp;"|"&amp;$E74)</x:f>
      </x:c>
    </x:row>
    <x:row r="75" ht="14.25" hidden="0" customHeight="1">
      <x:c r="A75" s="1"/>
      <x:c r="H75" t="str">
        <x:f aca="0">IF(OR($B75="",$D75="",$E75=""),"",$B75&amp;"|"&amp;$D75&amp;"|"&amp;$E75)</x:f>
      </x:c>
    </x:row>
    <x:row r="76" ht="14.25" hidden="0" customHeight="1">
      <x:c r="A76" s="1"/>
      <x:c r="H76" t="str">
        <x:f aca="0">IF(OR($B76="",$D76="",$E76=""),"",$B76&amp;"|"&amp;$D76&amp;"|"&amp;$E76)</x:f>
      </x:c>
    </x:row>
    <x:row r="77" ht="14.25" hidden="0" customHeight="1">
      <x:c r="A77" s="1"/>
      <x:c r="H77" t="str">
        <x:f aca="0">IF(OR($B77="",$D77="",$E77=""),"",$B77&amp;"|"&amp;$D77&amp;"|"&amp;$E77)</x:f>
      </x:c>
    </x:row>
    <x:row r="78" ht="14.25" hidden="0" customHeight="1">
      <x:c r="A78" s="1"/>
      <x:c r="H78" t="str">
        <x:f aca="0">IF(OR($B78="",$D78="",$E78=""),"",$B78&amp;"|"&amp;$D78&amp;"|"&amp;$E78)</x:f>
      </x:c>
    </x:row>
    <x:row r="79" ht="14.25" hidden="0" customHeight="1">
      <x:c r="A79" s="1"/>
      <x:c r="H79" t="str">
        <x:f aca="0">IF(OR($B79="",$D79="",$E79=""),"",$B79&amp;"|"&amp;$D79&amp;"|"&amp;$E79)</x:f>
      </x:c>
    </x:row>
    <x:row r="80" ht="14.25" hidden="0" customHeight="1">
      <x:c r="A80" s="1"/>
      <x:c r="H80" t="str">
        <x:f aca="0">IF(OR($B80="",$D80="",$E80=""),"",$B80&amp;"|"&amp;$D80&amp;"|"&amp;$E80)</x:f>
      </x:c>
    </x:row>
    <x:row r="81" ht="14.25" hidden="0" customHeight="1">
      <x:c r="A81" s="1"/>
      <x:c r="H81" t="str">
        <x:f aca="0">IF(OR($B81="",$D81="",$E81=""),"",$B81&amp;"|"&amp;$D81&amp;"|"&amp;$E81)</x:f>
      </x:c>
    </x:row>
    <x:row r="82" ht="14.25" hidden="0" customHeight="1">
      <x:c r="A82" s="1"/>
      <x:c r="H82" t="str">
        <x:f aca="0">IF(OR($B82="",$D82="",$E82=""),"",$B82&amp;"|"&amp;$D82&amp;"|"&amp;$E82)</x:f>
      </x:c>
    </x:row>
    <x:row r="83" ht="14.25" hidden="0" customHeight="1">
      <x:c r="A83" s="1"/>
      <x:c r="H83" t="str">
        <x:f aca="0">IF(OR($B83="",$D83="",$E83=""),"",$B83&amp;"|"&amp;$D83&amp;"|"&amp;$E83)</x:f>
      </x:c>
    </x:row>
    <x:row r="84" ht="14.25" hidden="0" customHeight="1">
      <x:c r="A84" s="1"/>
      <x:c r="H84" t="str">
        <x:f aca="0">IF(OR($B84="",$D84="",$E84=""),"",$B84&amp;"|"&amp;$D84&amp;"|"&amp;$E84)</x:f>
      </x:c>
    </x:row>
    <x:row r="85" ht="14.25" hidden="0" customHeight="1">
      <x:c r="A85" s="1"/>
      <x:c r="H85" t="str">
        <x:f aca="0">IF(OR($B85="",$D85="",$E85=""),"",$B85&amp;"|"&amp;$D85&amp;"|"&amp;$E85)</x:f>
      </x:c>
    </x:row>
    <x:row r="86" ht="14.25" hidden="0" customHeight="1">
      <x:c r="A86" s="1"/>
      <x:c r="H86" t="str">
        <x:f aca="0">IF(OR($B86="",$D86="",$E86=""),"",$B86&amp;"|"&amp;$D86&amp;"|"&amp;$E86)</x:f>
      </x:c>
    </x:row>
    <x:row r="87" ht="14.25" hidden="0" customHeight="1">
      <x:c r="A87" s="1"/>
      <x:c r="H87" t="str">
        <x:f aca="0">IF(OR($B87="",$D87="",$E87=""),"",$B87&amp;"|"&amp;$D87&amp;"|"&amp;$E87)</x:f>
      </x:c>
    </x:row>
    <x:row r="88" ht="14.25" hidden="0" customHeight="1">
      <x:c r="A88" s="1"/>
      <x:c r="H88" t="str">
        <x:f aca="0">IF(OR($B88="",$D88="",$E88=""),"",$B88&amp;"|"&amp;$D88&amp;"|"&amp;$E88)</x:f>
      </x:c>
    </x:row>
    <x:row r="89" ht="14.25" hidden="0" customHeight="1">
      <x:c r="A89" s="1"/>
      <x:c r="H89" t="str">
        <x:f aca="0">IF(OR($B89="",$D89="",$E89=""),"",$B89&amp;"|"&amp;$D89&amp;"|"&amp;$E89)</x:f>
      </x:c>
    </x:row>
    <x:row r="90" ht="14.25" hidden="0" customHeight="1">
      <x:c r="A90" s="1"/>
      <x:c r="H90" t="str">
        <x:f aca="0">IF(OR($B90="",$D90="",$E90=""),"",$B90&amp;"|"&amp;$D90&amp;"|"&amp;$E90)</x:f>
      </x:c>
    </x:row>
    <x:row r="91" ht="14.25" hidden="0" customHeight="1">
      <x:c r="A91" s="1"/>
      <x:c r="H91" t="str">
        <x:f aca="0">IF(OR($B91="",$D91="",$E91=""),"",$B91&amp;"|"&amp;$D91&amp;"|"&amp;$E91)</x:f>
      </x:c>
    </x:row>
    <x:row r="92" ht="14.25" hidden="0" customHeight="1">
      <x:c r="A92" s="1"/>
      <x:c r="H92" t="str">
        <x:f aca="0">IF(OR($B92="",$D92="",$E92=""),"",$B92&amp;"|"&amp;$D92&amp;"|"&amp;$E92)</x:f>
      </x:c>
    </x:row>
    <x:row r="93" ht="14.25" hidden="0" customHeight="1">
      <x:c r="A93" s="1"/>
      <x:c r="H93" t="str">
        <x:f aca="0">IF(OR($B93="",$D93="",$E93=""),"",$B93&amp;"|"&amp;$D93&amp;"|"&amp;$E93)</x:f>
      </x:c>
    </x:row>
    <x:row r="94" ht="14.25" hidden="0" customHeight="1">
      <x:c r="A94" s="1"/>
      <x:c r="H94" t="str">
        <x:f aca="0">IF(OR($B94="",$D94="",$E94=""),"",$B94&amp;"|"&amp;$D94&amp;"|"&amp;$E94)</x:f>
      </x:c>
    </x:row>
    <x:row r="95" ht="14.25" hidden="0" customHeight="1">
      <x:c r="A95" s="1"/>
      <x:c r="H95" t="str">
        <x:f aca="0">IF(OR($B95="",$D95="",$E95=""),"",$B95&amp;"|"&amp;$D95&amp;"|"&amp;$E95)</x:f>
      </x:c>
    </x:row>
    <x:row r="96" ht="14.25" hidden="0" customHeight="1">
      <x:c r="A96" s="1"/>
      <x:c r="H96" t="str">
        <x:f aca="0">IF(OR($B96="",$D96="",$E96=""),"",$B96&amp;"|"&amp;$D96&amp;"|"&amp;$E96)</x:f>
      </x:c>
    </x:row>
    <x:row r="97" ht="14.25" hidden="0" customHeight="1">
      <x:c r="A97" s="1"/>
      <x:c r="H97" t="str">
        <x:f aca="0">IF(OR($B97="",$D97="",$E97=""),"",$B97&amp;"|"&amp;$D97&amp;"|"&amp;$E97)</x:f>
      </x:c>
    </x:row>
    <x:row r="98" ht="14.25" hidden="0" customHeight="1">
      <x:c r="A98" s="1"/>
      <x:c r="H98" t="str">
        <x:f aca="0">IF(OR($B98="",$D98="",$E98=""),"",$B98&amp;"|"&amp;$D98&amp;"|"&amp;$E98)</x:f>
      </x:c>
    </x:row>
    <x:row r="99" ht="14.25" hidden="0" customHeight="1">
      <x:c r="A99" s="1"/>
      <x:c r="H99" t="str">
        <x:f aca="0">IF(OR($B99="",$D99="",$E99=""),"",$B99&amp;"|"&amp;$D99&amp;"|"&amp;$E99)</x:f>
      </x:c>
    </x:row>
    <x:row r="100" ht="14.25" hidden="0" customHeight="1">
      <x:c r="A100" s="1"/>
      <x:c r="H100" t="str">
        <x:f aca="0">IF(OR($B100="",$D100="",$E100=""),"",$B100&amp;"|"&amp;$D100&amp;"|"&amp;$E100)</x:f>
      </x:c>
    </x:row>
    <x:row r="101" ht="14.25" hidden="0" customHeight="1">
      <x:c r="A101" s="1"/>
    </x:row>
    <x:row r="102" ht="14.25" hidden="0" customHeight="1">
      <x:c r="A102" s="1"/>
    </x:row>
    <x:row r="103" ht="14.25" hidden="0" customHeight="1">
      <x:c r="A103" s="1"/>
    </x:row>
    <x:row r="104" ht="14.25" hidden="0" customHeight="1">
      <x:c r="A104" s="1"/>
    </x:row>
    <x:row r="105" ht="14.25" hidden="0" customHeight="1">
      <x:c r="A105" s="1"/>
    </x:row>
    <x:row r="106" ht="14.25" hidden="0" customHeight="1">
      <x:c r="A106" s="1"/>
    </x:row>
    <x:row r="107" ht="14.25" hidden="0" customHeight="1">
      <x:c r="A107" s="1"/>
    </x:row>
    <x:row r="108" ht="14.25" hidden="0" customHeight="1">
      <x:c r="A108" s="1"/>
    </x:row>
    <x:row r="109" ht="14.25" hidden="0" customHeight="1">
      <x:c r="A109" s="1"/>
    </x:row>
    <x:row r="110" ht="14.25" hidden="0" customHeight="1">
      <x:c r="A110" s="1"/>
    </x:row>
    <x:row r="111" ht="14.25" hidden="0" customHeight="1">
      <x:c r="A111" s="1"/>
    </x:row>
    <x:row r="112" ht="14.25" hidden="0" customHeight="1">
      <x:c r="A112" s="1"/>
    </x:row>
    <x:row r="113" ht="14.25" hidden="0" customHeight="1">
      <x:c r="A113" s="1"/>
    </x:row>
    <x:row r="114" ht="14.25" hidden="0" customHeight="1">
      <x:c r="A114" s="1"/>
    </x:row>
    <x:row r="115" ht="14.25" hidden="0" customHeight="1">
      <x:c r="A115" s="1"/>
    </x:row>
    <x:row r="116" ht="14.25" hidden="0" customHeight="1">
      <x:c r="A116" s="1"/>
    </x:row>
    <x:row r="117" ht="14.25" hidden="0" customHeight="1">
      <x:c r="A117" s="1"/>
    </x:row>
    <x:row r="118" ht="14.25" hidden="0" customHeight="1">
      <x:c r="A118" s="1"/>
    </x:row>
    <x:row r="119" ht="14.25" hidden="0" customHeight="1">
      <x:c r="A119" s="1"/>
    </x:row>
    <x:row r="120" ht="14.25" hidden="0" customHeight="1">
      <x:c r="A120" s="1"/>
    </x:row>
    <x:row r="121" ht="14.25" hidden="0" customHeight="1">
      <x:c r="A121" s="1"/>
    </x:row>
    <x:row r="122" ht="14.25" hidden="0" customHeight="1">
      <x:c r="A122" s="1"/>
    </x:row>
    <x:row r="123" ht="14.25" hidden="0" customHeight="1">
      <x:c r="A123" s="1"/>
    </x:row>
    <x:row r="124" ht="14.25" hidden="0" customHeight="1">
      <x:c r="A124" s="1"/>
    </x:row>
    <x:row r="125" ht="14.25" hidden="0" customHeight="1">
      <x:c r="A125" s="1"/>
    </x:row>
    <x:row r="126" ht="14.25" hidden="0" customHeight="1">
      <x:c r="A126" s="1"/>
    </x:row>
    <x:row r="127" ht="14.25" hidden="0" customHeight="1">
      <x:c r="A127" s="1"/>
    </x:row>
    <x:row r="128" ht="14.25" hidden="0" customHeight="1">
      <x:c r="A128" s="1"/>
    </x:row>
    <x:row r="129" ht="14.25" hidden="0" customHeight="1">
      <x:c r="A129" s="1"/>
    </x:row>
    <x:row r="130" ht="14.25" hidden="0" customHeight="1">
      <x:c r="A130" s="1"/>
    </x:row>
    <x:row r="131" ht="14.25" hidden="0" customHeight="1">
      <x:c r="A131" s="1"/>
    </x:row>
    <x:row r="132" ht="14.25" hidden="0" customHeight="1">
      <x:c r="A132" s="1"/>
    </x:row>
    <x:row r="133" ht="14.25" hidden="0" customHeight="1">
      <x:c r="A133" s="1"/>
    </x:row>
    <x:row r="134" ht="14.25" hidden="0" customHeight="1">
      <x:c r="A134" s="1"/>
    </x:row>
    <x:row r="135" ht="14.25" hidden="0" customHeight="1">
      <x:c r="A135" s="1"/>
    </x:row>
    <x:row r="136" ht="14.25" hidden="0" customHeight="1">
      <x:c r="A136" s="1"/>
    </x:row>
    <x:row r="137" ht="14.25" hidden="0" customHeight="1">
      <x:c r="A137" s="1"/>
    </x:row>
    <x:row r="138" ht="14.25" hidden="0" customHeight="1">
      <x:c r="A138" s="1"/>
    </x:row>
    <x:row r="139" ht="14.25" hidden="0" customHeight="1">
      <x:c r="A139" s="1"/>
    </x:row>
    <x:row r="140" ht="14.25" hidden="0" customHeight="1">
      <x:c r="A140" s="1"/>
    </x:row>
    <x:row r="141" ht="14.25" hidden="0" customHeight="1">
      <x:c r="A141" s="1"/>
    </x:row>
    <x:row r="142" ht="14.25" hidden="0" customHeight="1">
      <x:c r="A142" s="1"/>
    </x:row>
    <x:row r="143" ht="14.25" hidden="0" customHeight="1">
      <x:c r="A143" s="1"/>
    </x:row>
    <x:row r="144" ht="14.25" hidden="0" customHeight="1">
      <x:c r="A144" s="1"/>
    </x:row>
    <x:row r="145" ht="14.25" hidden="0" customHeight="1">
      <x:c r="A145" s="1"/>
    </x:row>
    <x:row r="146" ht="14.25" hidden="0" customHeight="1">
      <x:c r="A146" s="1"/>
    </x:row>
    <x:row r="147" ht="14.25" hidden="0" customHeight="1">
      <x:c r="A147" s="1"/>
    </x:row>
    <x:row r="148" ht="14.25" hidden="0" customHeight="1">
      <x:c r="A148" s="1"/>
    </x:row>
    <x:row r="149" ht="14.25" hidden="0" customHeight="1">
      <x:c r="A149" s="1"/>
    </x:row>
    <x:row r="150" ht="14.25" hidden="0" customHeight="1">
      <x:c r="A150" s="1"/>
    </x:row>
    <x:row r="151" ht="14.25" hidden="0" customHeight="1">
      <x:c r="A151" s="1"/>
    </x:row>
    <x:row r="152" ht="14.25" hidden="0" customHeight="1">
      <x:c r="A152" s="1"/>
    </x:row>
    <x:row r="153" ht="14.25" hidden="0" customHeight="1">
      <x:c r="A153" s="1"/>
    </x:row>
    <x:row r="154" ht="14.25" hidden="0" customHeight="1">
      <x:c r="A154" s="1"/>
    </x:row>
    <x:row r="155" ht="14.25" hidden="0" customHeight="1">
      <x:c r="A155" s="1"/>
    </x:row>
    <x:row r="156" ht="14.25" hidden="0" customHeight="1">
      <x:c r="A156" s="1"/>
    </x:row>
    <x:row r="157" ht="14.25" hidden="0" customHeight="1">
      <x:c r="A157" s="1"/>
    </x:row>
    <x:row r="158" ht="14.25" hidden="0" customHeight="1">
      <x:c r="A158" s="1"/>
    </x:row>
    <x:row r="159" ht="14.25" hidden="0" customHeight="1">
      <x:c r="A159" s="1"/>
    </x:row>
    <x:row r="160" ht="14.25" hidden="0" customHeight="1">
      <x:c r="A160" s="1"/>
    </x:row>
    <x:row r="161" ht="14.25" hidden="0" customHeight="1">
      <x:c r="A161" s="1"/>
    </x:row>
    <x:row r="162" ht="14.25" hidden="0" customHeight="1">
      <x:c r="A162" s="1"/>
    </x:row>
    <x:row r="163" ht="14.25" hidden="0" customHeight="1">
      <x:c r="A163" s="1"/>
    </x:row>
    <x:row r="164" ht="14.25" hidden="0" customHeight="1">
      <x:c r="A164" s="1"/>
    </x:row>
    <x:row r="165" ht="14.25" hidden="0" customHeight="1">
      <x:c r="A165" s="1"/>
    </x:row>
    <x:row r="166" ht="14.25" hidden="0" customHeight="1">
      <x:c r="A166" s="1"/>
    </x:row>
    <x:row r="167" ht="14.25" hidden="0" customHeight="1">
      <x:c r="A167" s="1"/>
    </x:row>
    <x:row r="168" ht="14.25" hidden="0" customHeight="1">
      <x:c r="A168" s="1"/>
    </x:row>
    <x:row r="169" ht="14.25" hidden="0" customHeight="1">
      <x:c r="A169" s="1"/>
    </x:row>
    <x:row r="170" ht="14.25" hidden="0" customHeight="1">
      <x:c r="A170" s="1"/>
    </x:row>
    <x:row r="171" ht="14.25" hidden="0" customHeight="1">
      <x:c r="A171" s="1"/>
    </x:row>
    <x:row r="172" ht="14.25" hidden="0" customHeight="1">
      <x:c r="A172" s="1"/>
    </x:row>
    <x:row r="173" ht="14.25" hidden="0" customHeight="1">
      <x:c r="A173" s="1"/>
    </x:row>
    <x:row r="174" ht="14.25" hidden="0" customHeight="1">
      <x:c r="A174" s="1"/>
    </x:row>
    <x:row r="175" ht="14.25" hidden="0" customHeight="1">
      <x:c r="A175" s="1"/>
    </x:row>
    <x:row r="176" ht="14.25" hidden="0" customHeight="1">
      <x:c r="A176" s="1"/>
    </x:row>
    <x:row r="177" ht="14.25" hidden="0" customHeight="1">
      <x:c r="A177" s="1"/>
    </x:row>
    <x:row r="178" ht="14.25" hidden="0" customHeight="1">
      <x:c r="A178" s="1"/>
    </x:row>
    <x:row r="179" ht="14.25" hidden="0" customHeight="1">
      <x:c r="A179" s="1"/>
    </x:row>
    <x:row r="180" ht="14.25" hidden="0" customHeight="1">
      <x:c r="A180" s="1"/>
    </x:row>
    <x:row r="181" ht="14.25" hidden="0" customHeight="1">
      <x:c r="A181" s="1"/>
    </x:row>
    <x:row r="182" ht="14.25" hidden="0" customHeight="1">
      <x:c r="A182" s="1"/>
    </x:row>
    <x:row r="183" ht="14.25" hidden="0" customHeight="1">
      <x:c r="A183" s="1"/>
    </x:row>
    <x:row r="184" ht="14.25" hidden="0" customHeight="1">
      <x:c r="A184" s="1"/>
    </x:row>
    <x:row r="185" ht="14.25" hidden="0" customHeight="1">
      <x:c r="A185" s="1"/>
    </x:row>
    <x:row r="186" ht="14.25" hidden="0" customHeight="1">
      <x:c r="A186" s="1"/>
    </x:row>
    <x:row r="187" ht="14.25" hidden="0" customHeight="1">
      <x:c r="A187" s="1"/>
    </x:row>
    <x:row r="188" ht="14.25" hidden="0" customHeight="1">
      <x:c r="A188" s="1"/>
    </x:row>
    <x:row r="189" ht="14.25" hidden="0" customHeight="1">
      <x:c r="A189" s="1"/>
    </x:row>
    <x:row r="190" ht="14.25" hidden="0" customHeight="1">
      <x:c r="A190" s="1"/>
    </x:row>
    <x:row r="191" ht="14.25" hidden="0" customHeight="1">
      <x:c r="A191" s="1"/>
    </x:row>
    <x:row r="192" ht="14.25" hidden="0" customHeight="1">
      <x:c r="A192" s="1"/>
    </x:row>
    <x:row r="193" ht="14.25" hidden="0" customHeight="1">
      <x:c r="A193" s="1"/>
    </x:row>
    <x:row r="194" ht="14.25" hidden="0" customHeight="1">
      <x:c r="A194" s="1"/>
    </x:row>
    <x:row r="195" ht="14.25" hidden="0" customHeight="1">
      <x:c r="A195" s="1"/>
    </x:row>
    <x:row r="196" ht="14.25" hidden="0" customHeight="1">
      <x:c r="A196" s="1"/>
    </x:row>
    <x:row r="197" ht="14.25" hidden="0" customHeight="1">
      <x:c r="A197" s="1"/>
    </x:row>
    <x:row r="198" ht="14.25" hidden="0" customHeight="1">
      <x:c r="A198" s="1"/>
    </x:row>
    <x:row r="199" ht="14.25" hidden="0" customHeight="1">
      <x:c r="A199" s="1"/>
    </x:row>
    <x:row r="200" ht="14.25" hidden="0" customHeight="1">
      <x:c r="A200" s="1"/>
    </x:row>
  </x:sheetData>
  <x:dataValidations count="3">
    <x:dataValidation type="list" errorStyle="stop" operator="equal" allowBlank="1" showDropDown="0" showInputMessage="0" showErrorMessage="0" sqref="A5:A200">
      <x:formula1>"A,B,C,D,E"</x:formula1>
      <x:formula2>0</x:formula2>
    </x:dataValidation>
    <x:dataValidation type="list" errorStyle="stop" operator="equal" allowBlank="1" showDropDown="0" showInputMessage="0" showErrorMessage="0" sqref="B5:B200">
      <x:formula1>"U1,U2,U3,U4,U5,U6,U7"</x:formula1>
      <x:formula2>0</x:formula2>
    </x:dataValidation>
    <x:dataValidation type="list" errorStyle="stop" operator="equal" allowBlank="1" showDropDown="0" showInputMessage="0" showErrorMessage="0" sqref="C5:C200">
      <x:formula1>"D1,D2,D3,D4,D5,D6,D7"</x:formula1>
      <x:formula2>0</x:formula2>
    </x:dataValidation>
  </x:dataValidations>
  <x:pageMargins left="0.7" right="0.7" top="0.75" bottom="0.75" header="0.3" footer="0.3"/>
</x:worksheet>
</file>

<file path=xl/worksheets/sheet25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sheetData>
    <x:row r="1" ht="14.25" hidden="0" customHeight="1">
      <x:c r="A1" s="26" t="s">
        <x:v>1280</x:v>
      </x:c>
      <x:c r="B1" s="26"/>
      <x:c r="C1" s="26"/>
      <x:c r="D1" s="26"/>
      <x:c r="E1" s="26"/>
      <x:c r="F1" s="26"/>
      <x:c r="G1" s="26"/>
      <x:c r="H1" s="26"/>
    </x:row>
    <x:row r="2" ht="13.5" hidden="0" customHeight="1"/>
    <x:row r="3" ht="14.25" hidden="0" customHeight="1">
      <x:c r="A3" s="1" t="s">
        <x:v>1281</x:v>
      </x:c>
    </x:row>
    <x:row r="4" ht="14.25" hidden="0" customHeight="1">
      <x:c r="A4" s="1" t="s">
        <x:v>1282</x:v>
      </x:c>
    </x:row>
    <x:row r="5" ht="13.5" hidden="0" customHeight="1"/>
    <x:row r="6" ht="14.25" hidden="0" customHeight="1">
      <x:c r="A6" s="9" t="s">
        <x:v>1283</x:v>
      </x:c>
    </x:row>
    <x:row r="7" ht="14.25" hidden="0" customHeight="1">
      <x:c r="A7" s="1" t="s">
        <x:v>1284</x:v>
      </x:c>
    </x:row>
    <x:row r="8" ht="14.25" hidden="0" customHeight="1">
      <x:c r="A8" s="1" t="s">
        <x:v>1285</x:v>
      </x:c>
    </x:row>
    <x:row r="9" ht="14.25" hidden="0" customHeight="1">
      <x:c r="A9" s="1" t="s">
        <x:v>1286</x:v>
      </x:c>
    </x:row>
    <x:row r="10" ht="13.5" hidden="0" customHeight="1"/>
    <x:row r="11" ht="14.25" hidden="0" customHeight="1">
      <x:c r="A11" s="9" t="s">
        <x:v>1287</x:v>
      </x:c>
    </x:row>
    <x:row r="12" ht="14.25" hidden="0" customHeight="1">
      <x:c r="A12" s="9" t="s">
        <x:v>505</x:v>
      </x:c>
      <x:c r="B12" s="9" t="s">
        <x:v>1288</x:v>
      </x:c>
      <x:c r="C12" s="9" t="s">
        <x:v>1289</x:v>
      </x:c>
      <x:c r="D12" s="9" t="s">
        <x:v>1290</x:v>
      </x:c>
      <x:c r="E12" s="9" t="s">
        <x:v>1291</x:v>
      </x:c>
    </x:row>
    <x:row r="13" ht="14.25" hidden="0" customHeight="1">
      <x:c r="A13" s="1" t="s">
        <x:v>1292</x:v>
      </x:c>
      <x:c r="B13" s="1" t="s">
        <x:v>1293</x:v>
      </x:c>
      <x:c r="C13" s="1" t="s">
        <x:v>1294</x:v>
      </x:c>
      <x:c r="D13" s="1" t="n">
        <x:v>1</x:v>
      </x:c>
      <x:c r="E13" s="1" t="s">
        <x:v>1295</x:v>
      </x:c>
    </x:row>
    <x:row r="14" ht="14.25" hidden="0" customHeight="1">
      <x:c r="A14" s="1" t="s">
        <x:v>1296</x:v>
      </x:c>
      <x:c r="B14" s="1" t="s">
        <x:v>1297</x:v>
      </x:c>
      <x:c r="C14" s="1" t="s">
        <x:v>1294</x:v>
      </x:c>
      <x:c r="D14" s="1" t="n">
        <x:v>1</x:v>
      </x:c>
      <x:c r="E14" s="1" t="s">
        <x:v>1295</x:v>
      </x:c>
    </x:row>
    <x:row r="15" ht="14.25" hidden="0" customHeight="1">
      <x:c r="A15" s="1" t="s">
        <x:v>1298</x:v>
      </x:c>
      <x:c r="B15" s="1" t="s">
        <x:v>1299</x:v>
      </x:c>
      <x:c r="C15" s="1" t="s">
        <x:v>1294</x:v>
      </x:c>
      <x:c r="D15" s="1" t="n">
        <x:v>1</x:v>
      </x:c>
      <x:c r="E15" s="1" t="s">
        <x:v>1295</x:v>
      </x:c>
    </x:row>
    <x:row r="16" ht="14.25" hidden="0" customHeight="1">
      <x:c r="A16" s="1" t="s">
        <x:v>1300</x:v>
      </x:c>
      <x:c r="B16" s="1" t="s">
        <x:v>1301</x:v>
      </x:c>
      <x:c r="C16" s="1" t="s">
        <x:v>1294</x:v>
      </x:c>
      <x:c r="D16" s="1" t="n">
        <x:v>1</x:v>
      </x:c>
      <x:c r="E16" s="1" t="s">
        <x:v>1295</x:v>
      </x:c>
    </x:row>
    <x:row r="17" ht="14.25" hidden="0" customHeight="1">
      <x:c r="A17" s="1" t="s">
        <x:v>1302</x:v>
      </x:c>
      <x:c r="B17" s="1" t="s">
        <x:v>1303</x:v>
      </x:c>
      <x:c r="C17" s="1" t="s">
        <x:v>1294</x:v>
      </x:c>
      <x:c r="D17" s="1" t="n">
        <x:v>1</x:v>
      </x:c>
      <x:c r="E17" s="1" t="s">
        <x:v>1295</x:v>
      </x:c>
    </x:row>
    <x:row r="18" ht="14.25" hidden="0" customHeight="1">
      <x:c r="A18" s="1" t="s">
        <x:v>1304</x:v>
      </x:c>
      <x:c r="B18" s="1" t="s">
        <x:v>1305</x:v>
      </x:c>
      <x:c r="C18" s="1" t="s">
        <x:v>1294</x:v>
      </x:c>
      <x:c r="D18" s="1" t="n">
        <x:v>1</x:v>
      </x:c>
      <x:c r="E18" s="1" t="s">
        <x:v>1295</x:v>
      </x:c>
    </x:row>
    <x:row r="19" ht="13.5" hidden="0" customHeight="1"/>
    <x:row r="20" ht="13.5" hidden="0" customHeight="1"/>
    <x:row r="21" ht="14.25" hidden="0" customHeight="1">
      <x:c r="A21" s="9" t="s">
        <x:v>1306</x:v>
      </x:c>
    </x:row>
    <x:row r="22" ht="14.25" hidden="0" customHeight="1">
      <x:c r="A22" s="1" t="s">
        <x:v>1307</x:v>
      </x:c>
    </x:row>
    <x:row r="23" ht="14.25" hidden="0" customHeight="1">
      <x:c r="A23" s="1" t="s">
        <x:v>1308</x:v>
      </x:c>
    </x:row>
  </x:sheetData>
  <x:mergeCells>
    <x:mergeCell ref="A1:H1"/>
  </x:mergeCells>
  <x:pageMargins left="0.7" right="0.7" top="0.75" bottom="0.75" header="0.3" footer="0.3"/>
</x:worksheet>
</file>

<file path=xl/worksheets/sheet26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sheetData>
    <x:row r="1" ht="14.25" hidden="0" customHeight="1">
      <x:c r="A1" s="26" t="s">
        <x:v>1309</x:v>
      </x:c>
      <x:c r="B1" s="26"/>
      <x:c r="C1" s="26"/>
      <x:c r="D1" s="26"/>
      <x:c r="E1" s="26"/>
      <x:c r="F1" s="26"/>
      <x:c r="G1" s="26"/>
      <x:c r="H1" s="26"/>
      <x:c r="I1" s="26"/>
      <x:c r="J1" s="26"/>
    </x:row>
    <x:row r="2" ht="13.5" hidden="0" customHeight="1"/>
    <x:row r="3" ht="14.25" hidden="0" customHeight="1">
      <x:c r="A3" s="1" t="s">
        <x:v>1310</x:v>
      </x:c>
    </x:row>
    <x:row r="4" ht="14.25" hidden="0" customHeight="1">
      <x:c r="A4" s="1" t="s">
        <x:v>1311</x:v>
      </x:c>
    </x:row>
    <x:row r="5" ht="13.5" hidden="0" customHeight="1"/>
    <x:row r="6" ht="14.25" hidden="0" customHeight="1">
      <x:c r="A6" s="9" t="s">
        <x:v>1312</x:v>
      </x:c>
    </x:row>
    <x:row r="7" ht="14.25" hidden="0" customHeight="1">
      <x:c r="A7" s="1" t="s">
        <x:v>1313</x:v>
      </x:c>
    </x:row>
    <x:row r="8" ht="14.25" hidden="0" customHeight="1">
      <x:c r="A8" s="1" t="s">
        <x:v>1314</x:v>
      </x:c>
    </x:row>
    <x:row r="9" ht="14.25" hidden="0" customHeight="1">
      <x:c r="A9" s="1" t="s">
        <x:v>1315</x:v>
      </x:c>
    </x:row>
    <x:row r="10" ht="14.25" hidden="0" customHeight="1">
      <x:c r="A10" s="1" t="s">
        <x:v>1316</x:v>
      </x:c>
    </x:row>
    <x:row r="11" ht="14.25" hidden="0" customHeight="1">
      <x:c r="A11" s="1" t="s">
        <x:v>1317</x:v>
      </x:c>
    </x:row>
    <x:row r="12" ht="14.25" hidden="0" customHeight="1">
      <x:c r="A12" s="1" t="s">
        <x:v>1318</x:v>
      </x:c>
    </x:row>
    <x:row r="13" ht="14.25" hidden="0" customHeight="1">
      <x:c r="A13" s="1" t="s">
        <x:v>1319</x:v>
      </x:c>
    </x:row>
    <x:row r="14" ht="13.5" hidden="0" customHeight="1"/>
    <x:row r="15" ht="14.25" hidden="0" customHeight="1">
      <x:c r="A15" s="9" t="s">
        <x:v>1320</x:v>
      </x:c>
    </x:row>
    <x:row r="16" ht="14.25" hidden="0" customHeight="1">
      <x:c r="A16" s="9" t="s">
        <x:v>1321</x:v>
      </x:c>
      <x:c r="B16" s="9" t="s">
        <x:v>123</x:v>
      </x:c>
    </x:row>
    <x:row r="17" ht="14.25" hidden="0" customHeight="1">
      <x:c r="A17" s="1" t="s">
        <x:v>1322</x:v>
      </x:c>
      <x:c r="B17" s="13" t="s">
        <x:v>1323</x:v>
      </x:c>
    </x:row>
    <x:row r="18" ht="14.25" hidden="0" customHeight="1">
      <x:c r="A18" s="1" t="s">
        <x:v>1324</x:v>
      </x:c>
      <x:c r="B18" s="13" t="s">
        <x:v>1323</x:v>
      </x:c>
    </x:row>
    <x:row r="19" ht="14.25" hidden="0" customHeight="1">
      <x:c r="A19" s="1" t="s">
        <x:v>1325</x:v>
      </x:c>
      <x:c r="B19" s="13" t="s">
        <x:v>1323</x:v>
      </x:c>
    </x:row>
    <x:row r="20" ht="14.25" hidden="0" customHeight="1">
      <x:c r="A20" s="1" t="s">
        <x:v>1326</x:v>
      </x:c>
      <x:c r="B20" s="13" t="s">
        <x:v>1323</x:v>
      </x:c>
    </x:row>
    <x:row r="21" ht="14.25" hidden="0" customHeight="1">
      <x:c r="A21" s="1" t="s">
        <x:v>1327</x:v>
      </x:c>
      <x:c r="B21" s="13" t="s">
        <x:v>1323</x:v>
      </x:c>
    </x:row>
    <x:row r="22" ht="14.25" hidden="0" customHeight="1">
      <x:c r="A22" s="1" t="s">
        <x:v>1328</x:v>
      </x:c>
      <x:c r="B22" s="13" t="s">
        <x:v>1329</x:v>
      </x:c>
    </x:row>
    <x:row r="23" ht="13.5" hidden="0" customHeight="1"/>
    <x:row r="24" ht="13.5" hidden="0" customHeight="1"/>
    <x:row r="25" ht="14.25" hidden="0" customHeight="1">
      <x:c r="A25" s="9" t="s">
        <x:v>1330</x:v>
      </x:c>
    </x:row>
    <x:row r="26" ht="14.25" hidden="0" customHeight="1">
      <x:c r="A26" s="13" t="s">
        <x:v>1331</x:v>
      </x:c>
    </x:row>
    <x:row r="27" ht="13.5" hidden="0" customHeight="1"/>
    <x:row r="28" ht="14.25" hidden="0" customHeight="1">
      <x:c r="A28" s="9" t="s">
        <x:v>1332</x:v>
      </x:c>
    </x:row>
    <x:row r="29" ht="14.25" hidden="0" customHeight="1">
      <x:c r="A29" s="1" t="s">
        <x:v>1333</x:v>
      </x:c>
    </x:row>
    <x:row r="30" ht="14.25" hidden="0" customHeight="1">
      <x:c r="A30" s="1" t="s">
        <x:v>1334</x:v>
      </x:c>
    </x:row>
    <x:row r="31" ht="14.25" hidden="0" customHeight="1">
      <x:c r="A31" s="1" t="s">
        <x:v>1335</x:v>
      </x:c>
    </x:row>
    <x:row r="32" ht="14.25" hidden="0" customHeight="1">
      <x:c r="A32" s="1" t="s">
        <x:v>1336</x:v>
      </x:c>
    </x:row>
    <x:row r="33" ht="13.5" hidden="0" customHeight="1"/>
    <x:row r="34" ht="14.25" hidden="0" customHeight="1">
      <x:c r="A34" s="1" t="s">
        <x:v>1337</x:v>
      </x:c>
    </x:row>
  </x:sheetData>
  <x:mergeCells>
    <x:mergeCell ref="A1:J1"/>
  </x:mergeCells>
  <x:pageMargins left="0.7" right="0.7" top="0.75" bottom="0.75" header="0.3" footer="0.3"/>
</x:worksheet>
</file>

<file path=xl/worksheets/sheet27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sheetData>
    <x:row r="1" ht="14.25" hidden="0" customHeight="1">
      <x:c r="A1" s="26" t="s">
        <x:v>1338</x:v>
      </x:c>
      <x:c r="B1" s="26"/>
      <x:c r="C1" s="26"/>
      <x:c r="D1" s="26"/>
      <x:c r="E1" s="26"/>
      <x:c r="F1" s="26"/>
      <x:c r="G1" s="26"/>
      <x:c r="H1" s="26"/>
      <x:c r="I1" s="26"/>
      <x:c r="J1" s="26"/>
    </x:row>
    <x:row r="2" ht="13.5" hidden="0" customHeight="1"/>
    <x:row r="3" ht="14.25" hidden="0" customHeight="1">
      <x:c r="A3" s="95" t="s">
        <x:v>1339</x:v>
      </x:c>
    </x:row>
    <x:row r="4" ht="14.25" hidden="0" customHeight="1">
      <x:c r="A4" s="60" t="s">
        <x:v>1340</x:v>
      </x:c>
    </x:row>
    <x:row r="5" ht="14.25" hidden="0" customHeight="1">
      <x:c r="A5" s="9" t="s">
        <x:v>1341</x:v>
      </x:c>
    </x:row>
    <x:row r="6" ht="14.25" hidden="0" customHeight="1">
      <x:c r="A6" s="1" t="s">
        <x:v>1342</x:v>
      </x:c>
    </x:row>
    <x:row r="7" ht="14.25" hidden="0" customHeight="1">
      <x:c r="A7" s="1" t="s">
        <x:v>1343</x:v>
      </x:c>
    </x:row>
    <x:row r="8" ht="14.25" hidden="0" customHeight="1">
      <x:c r="A8" s="1" t="s">
        <x:v>1344</x:v>
      </x:c>
    </x:row>
    <x:row r="9" ht="14.25" hidden="0" customHeight="1">
      <x:c r="A9" s="1" t="s">
        <x:v>1345</x:v>
      </x:c>
    </x:row>
    <x:row r="10" ht="14.25" hidden="0" customHeight="1">
      <x:c r="A10" s="1" t="s">
        <x:v>1346</x:v>
      </x:c>
    </x:row>
    <x:row r="11" ht="14.25" hidden="0" customHeight="1">
      <x:c r="A11" s="1" t="s">
        <x:v>1347</x:v>
      </x:c>
    </x:row>
    <x:row r="12" ht="13.5" hidden="0" customHeight="1">
      <x:c r="A12" s="1" t="s">
        <x:v>1348</x:v>
      </x:c>
    </x:row>
    <x:row r="13" ht="14.25" hidden="0" customHeight="1">
      <x:c r="A13" s="1" t="s">
        <x:v>1349</x:v>
      </x:c>
    </x:row>
    <x:row r="14" ht="14.25" hidden="0" customHeight="1">
      <x:c r="A14" s="1" t="s">
        <x:v>1350</x:v>
      </x:c>
    </x:row>
    <x:row r="15" ht="14.25" hidden="0" customHeight="1">
      <x:c r="A15" s="9" t="s">
        <x:v>1351</x:v>
      </x:c>
    </x:row>
    <x:row r="16" ht="14.25" hidden="0" customHeight="1">
      <x:c r="A16" s="1" t="n">
        <x:v>1</x:v>
      </x:c>
      <x:c r="B16" s="1" t="s">
        <x:v>1352</x:v>
      </x:c>
      <x:c r="C16" s="1" t="s">
        <x:v>1353</x:v>
      </x:c>
    </x:row>
    <x:row r="17" ht="14.25" hidden="0" customHeight="1">
      <x:c r="A17" s="1" t="n">
        <x:v>2</x:v>
      </x:c>
      <x:c r="B17" s="1" t="s">
        <x:v>1354</x:v>
      </x:c>
      <x:c r="C17" s="1" t="s">
        <x:v>1355</x:v>
      </x:c>
    </x:row>
    <x:row r="18" ht="14.25" hidden="0" customHeight="1">
      <x:c r="A18" s="1" t="n">
        <x:v>3</x:v>
      </x:c>
      <x:c r="B18" s="1" t="s">
        <x:v>1356</x:v>
      </x:c>
      <x:c r="C18" s="1" t="s">
        <x:v>1357</x:v>
      </x:c>
    </x:row>
    <x:row r="19" ht="14.25" hidden="0" customHeight="1">
      <x:c r="A19" s="1" t="n">
        <x:v>4</x:v>
      </x:c>
      <x:c r="B19" s="1" t="s">
        <x:v>1358</x:v>
      </x:c>
      <x:c r="C19" s="1" t="s">
        <x:v>1359</x:v>
      </x:c>
    </x:row>
    <x:row r="20" ht="14.25" hidden="0" customHeight="1">
      <x:c r="A20" s="1" t="n">
        <x:v>5</x:v>
      </x:c>
      <x:c r="B20" s="1" t="s">
        <x:v>1360</x:v>
      </x:c>
      <x:c r="C20" s="1" t="s">
        <x:v>1361</x:v>
      </x:c>
    </x:row>
    <x:row r="21" ht="14.25" hidden="0" customHeight="1">
      <x:c r="A21" s="1" t="n">
        <x:v>6</x:v>
      </x:c>
      <x:c r="B21" s="1" t="s">
        <x:v>1362</x:v>
      </x:c>
      <x:c r="C21" s="1" t="s">
        <x:v>1363</x:v>
      </x:c>
    </x:row>
    <x:row r="22" ht="14.25" hidden="0" customHeight="1">
      <x:c r="A22" s="1" t="n">
        <x:v>7</x:v>
      </x:c>
      <x:c r="B22" s="1" t="s">
        <x:v>1364</x:v>
      </x:c>
      <x:c r="C22" s="1" t="s">
        <x:v>1365</x:v>
      </x:c>
    </x:row>
    <x:row r="23" ht="14.25" hidden="0" customHeight="1">
      <x:c r="A23" s="1" t="n">
        <x:v>8</x:v>
      </x:c>
      <x:c r="B23" s="1" t="s">
        <x:v>1214</x:v>
      </x:c>
      <x:c r="C23" s="1" t="s">
        <x:v>1366</x:v>
      </x:c>
    </x:row>
    <x:row r="24" ht="14.25" hidden="0" customHeight="1">
      <x:c r="A24" s="1" t="n">
        <x:v>9</x:v>
      </x:c>
      <x:c r="B24" s="1" t="s">
        <x:v>211</x:v>
      </x:c>
      <x:c r="C24" s="1" t="s">
        <x:v>1367</x:v>
      </x:c>
    </x:row>
    <x:row r="25" ht="14.25" hidden="0" customHeight="1">
      <x:c r="A25" s="1" t="n">
        <x:v>10</x:v>
      </x:c>
      <x:c r="B25" s="1" t="s">
        <x:v>749</x:v>
      </x:c>
      <x:c r="C25" s="1" t="s">
        <x:v>1368</x:v>
      </x:c>
    </x:row>
    <x:row r="26" ht="14.25" hidden="0" customHeight="1">
      <x:c r="A26" s="1" t="n">
        <x:v>11</x:v>
      </x:c>
      <x:c r="B26" s="1" t="s">
        <x:v>220</x:v>
      </x:c>
      <x:c r="C26" s="1" t="s">
        <x:v>1369</x:v>
      </x:c>
    </x:row>
    <x:row r="27" ht="14.25" hidden="0" customHeight="1">
      <x:c r="A27" s="1" t="n">
        <x:v>12</x:v>
      </x:c>
      <x:c r="B27" s="1" t="s">
        <x:v>752</x:v>
      </x:c>
      <x:c r="C27" s="1" t="s">
        <x:v>1370</x:v>
      </x:c>
    </x:row>
    <x:row r="28" ht="14.25" hidden="0" customHeight="1">
      <x:c r="A28" s="1" t="n">
        <x:v>13</x:v>
      </x:c>
      <x:c r="B28" s="1" t="s">
        <x:v>1371</x:v>
      </x:c>
      <x:c r="C28" s="1" t="s">
        <x:v>1372</x:v>
      </x:c>
    </x:row>
    <x:row r="29" ht="14.25" hidden="0" customHeight="1">
      <x:c r="A29" s="1" t="n">
        <x:v>14</x:v>
      </x:c>
      <x:c r="B29" s="1" t="s">
        <x:v>205</x:v>
      </x:c>
      <x:c r="C29" s="1" t="s">
        <x:v>1373</x:v>
      </x:c>
    </x:row>
    <x:row r="30" ht="14.25" hidden="0" customHeight="1">
      <x:c r="A30" s="1" t="n">
        <x:v>15</x:v>
      </x:c>
      <x:c r="B30" s="1" t="s">
        <x:v>1374</x:v>
      </x:c>
      <x:c r="C30" s="1" t="s">
        <x:v>1375</x:v>
      </x:c>
    </x:row>
    <x:row r="31" ht="14.25" hidden="0" customHeight="1">
      <x:c r="A31" s="1" t="n">
        <x:v>16</x:v>
      </x:c>
      <x:c r="B31" s="1" t="s">
        <x:v>1376</x:v>
      </x:c>
      <x:c r="C31" s="1" t="s">
        <x:v>1377</x:v>
      </x:c>
    </x:row>
    <x:row r="32" ht="14.25" hidden="0" customHeight="1">
      <x:c r="A32" s="1" t="n">
        <x:v>17</x:v>
      </x:c>
      <x:c r="B32" s="1" t="s">
        <x:v>1378</x:v>
      </x:c>
      <x:c r="C32" s="1" t="s">
        <x:v>1379</x:v>
      </x:c>
    </x:row>
    <x:row r="33" ht="14.25" hidden="0" customHeight="1">
      <x:c r="A33" s="1" t="n">
        <x:v>18</x:v>
      </x:c>
      <x:c r="B33" s="1" t="s">
        <x:v>1380</x:v>
      </x:c>
      <x:c r="C33" s="1" t="s">
        <x:v>1381</x:v>
      </x:c>
    </x:row>
    <x:row r="34" ht="14.25" hidden="0" customHeight="1">
      <x:c r="A34" s="1" t="n">
        <x:v>19</x:v>
      </x:c>
      <x:c r="B34" s="1" t="s">
        <x:v>1382</x:v>
      </x:c>
      <x:c r="C34" s="1" t="s">
        <x:v>1383</x:v>
      </x:c>
    </x:row>
    <x:row r="35" ht="13.5" hidden="0" customHeight="1">
      <x:c r="A35" s="1" t="n">
        <x:v>20</x:v>
      </x:c>
      <x:c r="B35" s="1" t="s">
        <x:v>1384</x:v>
      </x:c>
      <x:c r="C35" s="1" t="s">
        <x:v>1385</x:v>
      </x:c>
    </x:row>
    <x:row r="36" ht="13.5" hidden="0" customHeight="1">
      <x:c r="A36" s="1" t="n">
        <x:v>21</x:v>
      </x:c>
      <x:c r="B36" s="1" t="s">
        <x:v>1386</x:v>
      </x:c>
      <x:c r="C36" s="1" t="s">
        <x:v>1387</x:v>
      </x:c>
    </x:row>
    <x:row r="39" ht="14.25" hidden="0" customHeight="1">
      <x:c r="A39" s="9" t="s">
        <x:v>1388</x:v>
      </x:c>
    </x:row>
    <x:row r="40" ht="14.25" hidden="0" customHeight="1">
      <x:c r="A40" s="1" t="s">
        <x:v>1389</x:v>
      </x:c>
    </x:row>
    <x:row r="41" ht="14.25" hidden="0" customHeight="1">
      <x:c r="A41" s="1" t="s">
        <x:v>1390</x:v>
      </x:c>
    </x:row>
    <x:row r="42" ht="14.25" hidden="0" customHeight="1">
      <x:c r="A42" s="1" t="s">
        <x:v>1391</x:v>
      </x:c>
    </x:row>
    <x:row r="43" ht="14.25" hidden="0" customHeight="1">
      <x:c r="A43" s="1" t="s">
        <x:v>1392</x:v>
      </x:c>
    </x:row>
    <x:row r="44" ht="14.25" hidden="0" customHeight="1">
      <x:c r="A44" s="1" t="s">
        <x:v>1393</x:v>
      </x:c>
    </x:row>
    <x:row r="45" ht="15" hidden="0" customHeight="1">
      <x:c r="A45" s="1" t="s">
        <x:v>1394</x:v>
      </x:c>
    </x:row>
    <x:row r="46" ht="13.5" hidden="0" customHeight="1"/>
    <x:row r="47" ht="13.5" hidden="0" customHeight="1">
      <x:c r="A47" s="14" t="s">
        <x:v>1395</x:v>
      </x:c>
    </x:row>
    <x:row r="48" ht="13.5" hidden="0" customHeight="1">
      <x:c r="A48" s="16" t="s">
        <x:v>1396</x:v>
      </x:c>
    </x:row>
    <x:row r="49" ht="13.5" hidden="0" customHeight="1">
      <x:c r="A49" s="16" t="s">
        <x:v>1397</x:v>
      </x:c>
    </x:row>
    <x:row r="50" ht="13.5" hidden="0" customHeight="1">
      <x:c r="A50" s="16" t="s">
        <x:v>1398</x:v>
      </x:c>
    </x:row>
    <x:row r="51" ht="13.5" hidden="0" customHeight="1">
      <x:c r="A51" s="16" t="s">
        <x:v>1399</x:v>
      </x:c>
    </x:row>
    <x:row r="52" ht="13.5" hidden="0" customHeight="1">
      <x:c r="A52" s="16" t="s">
        <x:v>1400</x:v>
      </x:c>
    </x:row>
    <x:row r="53" ht="14.25" hidden="0" customHeight="1">
      <x:c r="A53" s="16" t="s">
        <x:v>1401</x:v>
      </x:c>
    </x:row>
    <x:row r="54" ht="14.25" hidden="0" customHeight="1">
      <x:c r="A54" s="16" t="s">
        <x:v>1402</x:v>
      </x:c>
    </x:row>
    <x:row r="55" ht="281.29998779296875" hidden="0">
      <x:c r="A55" s="96" t="s">
        <x:v>1403</x:v>
      </x:c>
    </x:row>
  </x:sheetData>
  <x:mergeCells>
    <x:mergeCell ref="A1:J1"/>
  </x:mergeCells>
  <x:pageMargins left="0.7" right="0.7" top="0.75" bottom="0.75" header="0.3" footer="0.3"/>
</x:worksheet>
</file>

<file path=xl/worksheets/sheet28.xml><?xml version="1.0" encoding="utf-8"?>
<x:worksheet xmlns:x="http://schemas.openxmlformats.org/spreadsheetml/2006/main">
  <x:sheetViews>
    <x:sheetView showGridLines="1" workbookViewId="0"/>
  </x:sheetViews>
  <x:sheetFormatPr defaultColWidth="8.66796875" defaultRowHeight="12.800000190734863"/>
  <x:cols>
    <x:col min="1" max="1" width="18" hidden="0" customWidth="1"/>
    <x:col min="2" max="2" width="16" hidden="0" customWidth="1"/>
    <x:col min="3" max="3" width="120" hidden="0" customWidth="1"/>
  </x:cols>
  <x:sheetData>
    <x:row r="1" ht="14.25" hidden="0" customHeight="1">
      <x:c r="A1" s="22" t="s">
        <x:v>1404</x:v>
      </x:c>
      <x:c r="B1" s="22"/>
      <x:c r="C1" s="22"/>
      <x:c r="D1" s="22"/>
      <x:c r="E1" s="22"/>
      <x:c r="F1" s="22"/>
      <x:c r="G1" s="22"/>
      <x:c r="H1" s="22"/>
      <x:c r="I1" s="22"/>
      <x:c r="J1" s="22"/>
    </x:row>
    <x:row r="2" ht="14.25" hidden="0" customHeight="1">
      <x:c r="A2" s="4" t="str">
        <x:f aca="0">CANON!B7</x:f>
        <x:v>v2.3</x:v>
      </x:c>
    </x:row>
    <x:row r="3" ht="14.25" hidden="0" customHeight="1">
      <x:c r="A3" s="24" t="str">
        <x:f aca="0">"Sheet Version: "&amp;CANON!B7</x:f>
        <x:v>Sheet Version: v2.3</x:v>
      </x:c>
    </x:row>
    <x:row r="4" ht="14.25" hidden="0" customHeight="1">
      <x:c r="A4" s="4" t="s">
        <x:v>373</x:v>
      </x:c>
      <x:c r="B4" s="97" t="str">
        <x:f aca="0">CANON!B5</x:f>
        <x:v>RippleLogic v9.0</x:v>
      </x:c>
    </x:row>
    <x:row r="5" ht="14.25" hidden="0" customHeight="1">
      <x:c r="A5" s="4" t="s">
        <x:v>374</x:v>
      </x:c>
      <x:c r="B5" s="97" t="str">
        <x:f aca="0">CANON!B6</x:f>
        <x:v>SGP v4.3</x:v>
      </x:c>
    </x:row>
    <x:row r="6" ht="14.25" hidden="0" customHeight="1">
      <x:c r="A6" s="4" t="s">
        <x:v>1405</x:v>
      </x:c>
      <x:c r="B6" s="97" t="s">
        <x:v>1406</x:v>
      </x:c>
    </x:row>
    <x:row r="7" ht="14.25" hidden="0" customHeight="1">
      <x:c r="A7" s="1"/>
    </x:row>
    <x:row r="8" ht="14.25" hidden="0" customHeight="1">
      <x:c r="A8" s="4" t="s">
        <x:v>1407</x:v>
      </x:c>
      <x:c r="B8" s="4" t="s">
        <x:v>1408</x:v>
      </x:c>
      <x:c r="C8" s="4" t="s">
        <x:v>1409</x:v>
      </x:c>
    </x:row>
    <x:row r="9" ht="14.25" hidden="0" customHeight="1">
      <x:c r="A9" s="24" t="s">
        <x:v>1410</x:v>
      </x:c>
    </x:row>
    <x:row r="10" ht="14.25" hidden="0" customHeight="1">
      <x:c r="A10" s="24" t="s">
        <x:v>1411</x:v>
      </x:c>
      <x:c r="B10" s="24" t="s">
        <x:v>17</x:v>
      </x:c>
      <x:c r="C10" s="24" t="s">
        <x:v>1412</x:v>
      </x:c>
    </x:row>
    <x:row r="11" ht="42" hidden="0" customHeight="1">
      <x:c r="A11" s="4" t="s">
        <x:v>28</x:v>
      </x:c>
      <x:c r="B11" s="4" t="s">
        <x:v>293</x:v>
      </x:c>
      <x:c r="C11" s="4" t="s">
        <x:v>1413</x:v>
      </x:c>
    </x:row>
    <x:row r="12" ht="42" hidden="0" customHeight="1">
      <x:c r="A12" s="4" t="s">
        <x:v>1414</x:v>
      </x:c>
      <x:c r="B12" s="4" t="s">
        <x:v>1415</x:v>
      </x:c>
      <x:c r="C12" s="4" t="s">
        <x:v>1416</x:v>
      </x:c>
      <x:c r="D12" s="4" t="s">
        <x:v>1417</x:v>
      </x:c>
    </x:row>
    <x:row r="13" ht="72" hidden="0" customHeight="1">
      <x:c r="A13" s="4" t="s">
        <x:v>1418</x:v>
      </x:c>
      <x:c r="B13" s="4" t="s">
        <x:v>1419</x:v>
      </x:c>
      <x:c r="C13" s="4" t="s">
        <x:v>1420</x:v>
      </x:c>
      <x:c r="D13" s="4" t="s">
        <x:v>1421</x:v>
      </x:c>
    </x:row>
    <x:row r="14" ht="14.25" hidden="0" customHeight="1">
      <x:c r="A14" s="98" t="s">
        <x:v>1422</x:v>
      </x:c>
      <x:c r="B14" s="4" t="s">
        <x:v>1423</x:v>
      </x:c>
      <x:c r="C14" s="4" t="s">
        <x:v>1424</x:v>
      </x:c>
      <x:c r="D14" s="4" t="s">
        <x:v>1421</x:v>
      </x:c>
    </x:row>
    <x:row r="15" ht="14.25" hidden="0" customHeight="1">
      <x:c r="A15" s="99" t="s">
        <x:v>1425</x:v>
      </x:c>
      <x:c r="B15" s="24" t="s">
        <x:v>1426</x:v>
      </x:c>
      <x:c r="C15" s="24" t="s">
        <x:v>1427</x:v>
      </x:c>
    </x:row>
    <x:row r="16" ht="14.25" hidden="0" customHeight="1">
      <x:c r="A16" s="4" t="s">
        <x:v>1428</x:v>
      </x:c>
      <x:c r="B16" s="4" t="s">
        <x:v>1429</x:v>
      </x:c>
      <x:c r="C16" s="4" t="s">
        <x:v>1430</x:v>
      </x:c>
      <x:c r="D16" s="4" t="s">
        <x:v>1421</x:v>
      </x:c>
    </x:row>
    <x:row r="17" ht="14.25" hidden="0" customHeight="1">
      <x:c r="A17" s="4" t="s">
        <x:v>1431</x:v>
      </x:c>
      <x:c r="B17" s="4" t="s">
        <x:v>1429</x:v>
      </x:c>
      <x:c r="C17" s="4" t="s">
        <x:v>1432</x:v>
      </x:c>
      <x:c r="D17" s="4" t="s">
        <x:v>1421</x:v>
      </x:c>
    </x:row>
    <x:row r="18" ht="14.25" hidden="0" customHeight="1">
      <x:c r="A18" s="4" t="s">
        <x:v>1433</x:v>
      </x:c>
      <x:c r="B18" s="4" t="s">
        <x:v>1429</x:v>
      </x:c>
      <x:c r="C18" s="4" t="s">
        <x:v>1434</x:v>
      </x:c>
      <x:c r="D18" s="4" t="s">
        <x:v>1421</x:v>
      </x:c>
    </x:row>
    <x:row r="19" ht="14.25" hidden="0" customHeight="1">
      <x:c r="A19" s="4" t="s">
        <x:v>1435</x:v>
      </x:c>
      <x:c r="B19" s="4" t="s">
        <x:v>1429</x:v>
      </x:c>
      <x:c r="C19" s="4" t="s">
        <x:v>1436</x:v>
      </x:c>
      <x:c r="D19" s="4" t="s">
        <x:v>1421</x:v>
      </x:c>
    </x:row>
    <x:row r="20" ht="14.25" hidden="0" customHeight="1">
      <x:c r="A20" s="4" t="s">
        <x:v>1437</x:v>
      </x:c>
      <x:c r="B20" s="4" t="s">
        <x:v>1429</x:v>
      </x:c>
      <x:c r="C20" s="4" t="s">
        <x:v>1438</x:v>
      </x:c>
      <x:c r="D20" s="4" t="s">
        <x:v>1421</x:v>
      </x:c>
    </x:row>
    <x:row r="21" ht="14.25" hidden="0" customHeight="1">
      <x:c r="A21" s="4" t="s">
        <x:v>1439</x:v>
      </x:c>
      <x:c r="B21" s="4" t="s">
        <x:v>1429</x:v>
      </x:c>
      <x:c r="C21" s="4" t="s">
        <x:v>1440</x:v>
      </x:c>
      <x:c r="D21" s="4" t="s">
        <x:v>1421</x:v>
      </x:c>
    </x:row>
    <x:row r="22" ht="14.25" hidden="0" customHeight="1">
      <x:c r="A22" s="24" t="s">
        <x:v>1441</x:v>
      </x:c>
      <x:c r="B22" s="81" t="s">
        <x:v>905</x:v>
      </x:c>
      <x:c r="C22" s="4" t="s">
        <x:v>1442</x:v>
      </x:c>
    </x:row>
    <x:row r="23" ht="14.25" hidden="0" customHeight="1">
      <x:c r="A23" s="24" t="s">
        <x:v>1443</x:v>
      </x:c>
      <x:c r="B23" s="100" t="s">
        <x:v>1444</x:v>
      </x:c>
      <x:c r="C23" s="4" t="s">
        <x:v>1445</x:v>
      </x:c>
    </x:row>
    <x:row r="24" ht="14.25" hidden="0" customHeight="1">
      <x:c r="A24" s="4" t="s">
        <x:v>1446</x:v>
      </x:c>
      <x:c r="B24" s="81" t="s">
        <x:v>1444</x:v>
      </x:c>
      <x:c r="C24" s="4" t="s">
        <x:v>1447</x:v>
      </x:c>
    </x:row>
    <x:row r="25" ht="14.25" hidden="0" customHeight="1">
      <x:c r="A25" s="4" t="s">
        <x:v>1448</x:v>
      </x:c>
      <x:c r="B25" s="81" t="s">
        <x:v>905</x:v>
      </x:c>
      <x:c r="C25" s="4" t="s">
        <x:v>1449</x:v>
      </x:c>
    </x:row>
    <x:row r="26" ht="14.25" hidden="0" customHeight="1">
      <x:c r="A26" s="4" t="s">
        <x:v>1450</x:v>
      </x:c>
      <x:c r="B26" s="81" t="s">
        <x:v>905</x:v>
      </x:c>
      <x:c r="C26" s="4" t="s">
        <x:v>1451</x:v>
      </x:c>
    </x:row>
    <x:row r="27" ht="14.25" hidden="0" customHeight="1">
      <x:c r="A27" s="4" t="s">
        <x:v>1452</x:v>
      </x:c>
      <x:c r="B27" s="81" t="str">
        <x:f aca="0">"✓ PASS ("&amp;CANON!B41&amp;"/"&amp;CANON!B41&amp;")"</x:f>
        <x:v>✓ PASS (5/5)</x:v>
      </x:c>
    </x:row>
    <x:row r="28" ht="14.25" hidden="0" customHeight="1">
      <x:c r="A28" s="4" t="s">
        <x:v>1453</x:v>
      </x:c>
      <x:c r="B28" s="81" t="s">
        <x:v>1454</x:v>
      </x:c>
    </x:row>
    <x:row r="29" ht="14.25" hidden="0" customHeight="1">
      <x:c r="A29" s="4" t="s">
        <x:v>220</x:v>
      </x:c>
      <x:c r="B29" s="81" t="s">
        <x:v>1455</x:v>
      </x:c>
    </x:row>
    <x:row r="30" ht="13.5" hidden="0" customHeight="1">
      <x:c r="A30" s="4" t="s">
        <x:v>752</x:v>
      </x:c>
      <x:c r="B30" s="81" t="s">
        <x:v>1456</x:v>
      </x:c>
    </x:row>
    <x:row r="31" ht="14.25" hidden="0" customHeight="1">
      <x:c r="A31" s="4" t="s">
        <x:v>1374</x:v>
      </x:c>
      <x:c r="B31" s="81" t="s">
        <x:v>1457</x:v>
      </x:c>
    </x:row>
    <x:row r="32" ht="14.25" hidden="0" customHeight="1">
      <x:c r="A32" s="4" t="s">
        <x:v>1458</x:v>
      </x:c>
      <x:c r="B32" s="4" t="s">
        <x:v>1459</x:v>
      </x:c>
    </x:row>
    <x:row r="33" ht="14.25" hidden="0" customHeight="1">
      <x:c r="A33" s="24" t="s">
        <x:v>1460</x:v>
      </x:c>
      <x:c r="B33" s="24" t="s">
        <x:v>1461</x:v>
      </x:c>
    </x:row>
    <x:row r="34" ht="14.25" hidden="0" customHeight="1">
      <x:c r="A34" s="4" t="s">
        <x:v>1462</x:v>
      </x:c>
      <x:c r="B34" s="4" t="s">
        <x:v>1408</x:v>
      </x:c>
      <x:c r="C34" s="4" t="s">
        <x:v>1463</x:v>
      </x:c>
    </x:row>
    <x:row r="35" ht="14.25" hidden="0" customHeight="1">
      <x:c r="A35" s="4" t="s">
        <x:v>1462</x:v>
      </x:c>
      <x:c r="B35" s="4" t="s">
        <x:v>1408</x:v>
      </x:c>
      <x:c r="C35" s="4" t="s">
        <x:v>1464</x:v>
      </x:c>
      <x:c r="D35" s="4" t="s">
        <x:v>1465</x:v>
      </x:c>
    </x:row>
    <x:row r="36" ht="14.25" hidden="0" customHeight="1">
      <x:c r="A36" s="4" t="s">
        <x:v>1466</x:v>
      </x:c>
      <x:c r="B36" s="4" t="s">
        <x:v>1467</x:v>
      </x:c>
      <x:c r="C36" s="4" t="s">
        <x:v>1468</x:v>
      </x:c>
      <x:c r="D36" s="4" t="s">
        <x:v>1469</x:v>
      </x:c>
    </x:row>
    <x:row r="37" ht="14.25" hidden="0" customHeight="1">
      <x:c r="A37" s="4" t="s">
        <x:v>1470</x:v>
      </x:c>
      <x:c r="B37" s="4" t="s">
        <x:v>1467</x:v>
      </x:c>
      <x:c r="C37" s="4" t="s">
        <x:v>1471</x:v>
      </x:c>
      <x:c r="D37" s="4" t="s">
        <x:v>1469</x:v>
      </x:c>
    </x:row>
    <x:row r="38" ht="14.25" hidden="0" customHeight="1">
      <x:c r="A38" s="24" t="s">
        <x:v>1472</x:v>
      </x:c>
      <x:c r="B38" s="4" t="s">
        <x:v>1473</x:v>
      </x:c>
      <x:c r="C38" s="4" t="s">
        <x:v>1474</x:v>
      </x:c>
      <x:c r="D38" s="4" t="s">
        <x:v>1421</x:v>
      </x:c>
    </x:row>
    <x:row r="39" ht="13.5" hidden="0" customHeight="1"/>
    <x:row r="40" ht="14.25" hidden="0" customHeight="1">
      <x:c r="A40" s="4" t="s">
        <x:v>1475</x:v>
      </x:c>
    </x:row>
    <x:row r="41" ht="14.25" hidden="0" customHeight="1">
      <x:c r="A41" s="4" t="s">
        <x:v>1476</x:v>
      </x:c>
    </x:row>
    <x:row r="42" ht="14.25" hidden="0" customHeight="1">
      <x:c r="A42" s="4" t="s">
        <x:v>1477</x:v>
      </x:c>
    </x:row>
    <x:row r="43" ht="14.25" hidden="0" customHeight="1">
      <x:c r="A43" s="4" t="s">
        <x:v>1478</x:v>
      </x:c>
    </x:row>
    <x:row r="44" ht="14.25" hidden="0" customHeight="1">
      <x:c r="A44" s="4" t="s">
        <x:v>1479</x:v>
      </x:c>
    </x:row>
    <x:row r="45" ht="14.25" hidden="0" customHeight="1">
      <x:c r="A45" s="4" t="s">
        <x:v>1480</x:v>
      </x:c>
    </x:row>
    <x:row r="46" ht="13.5" hidden="0" customHeight="1">
      <x:c r="A46" s="4" t="s">
        <x:v>1481</x:v>
      </x:c>
    </x:row>
    <x:row r="47" ht="13.5" hidden="0" customHeight="1">
      <x:c r="A47" s="24" t="s">
        <x:v>1482</x:v>
      </x:c>
    </x:row>
    <x:row r="48" ht="13.5" hidden="0" customHeight="1"/>
    <x:row r="49" ht="13.5" hidden="0" customHeight="1">
      <x:c r="A49" s="4" t="s">
        <x:v>1483</x:v>
      </x:c>
    </x:row>
    <x:row r="50" ht="13.5" hidden="0" customHeight="1">
      <x:c r="A50" s="4" t="s">
        <x:v>1484</x:v>
      </x:c>
    </x:row>
    <x:row r="51" ht="13.5" hidden="0" customHeight="1">
      <x:c r="A51" s="4" t="s">
        <x:v>1485</x:v>
      </x:c>
    </x:row>
    <x:row r="52" ht="14.25" hidden="0" customHeight="1">
      <x:c r="A52" s="4" t="s">
        <x:v>1486</x:v>
      </x:c>
    </x:row>
    <x:row r="53" ht="14.25" hidden="0" customHeight="1">
      <x:c r="A53" s="4" t="s">
        <x:v>1487</x:v>
      </x:c>
    </x:row>
    <x:row r="54" ht="14.25" hidden="0" customHeight="1">
      <x:c r="A54" s="4" t="s">
        <x:v>1488</x:v>
      </x:c>
    </x:row>
    <x:row r="55" ht="14.25" hidden="0" customHeight="1">
      <x:c r="A55" s="4" t="s">
        <x:v>1489</x:v>
      </x:c>
      <x:c r="B55" s="4" t="s">
        <x:v>1490</x:v>
      </x:c>
    </x:row>
    <x:row r="56" ht="14.25" hidden="0" customHeight="1">
      <x:c r="A56" s="4" t="s">
        <x:v>1491</x:v>
      </x:c>
      <x:c r="B56" s="4" t="s">
        <x:v>1492</x:v>
      </x:c>
    </x:row>
  </x:sheetData>
  <x:mergeCells>
    <x:mergeCell ref="A1:J1"/>
  </x:mergeCells>
  <x:pageMargins left="0.7" right="0.7" top="0.75" bottom="0.75" header="0.3" footer="0.3"/>
</x:worksheet>
</file>